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hidePivotFieldList="1"/>
  <mc:AlternateContent xmlns:mc="http://schemas.openxmlformats.org/markup-compatibility/2006">
    <mc:Choice Requires="x15">
      <x15ac:absPath xmlns:x15ac="http://schemas.microsoft.com/office/spreadsheetml/2010/11/ac" url="https://dorchestertowncouncil.sharepoint.com/sites/DTCFiles/Shared Documents/General/Shares/NigelHayes/Finance/2026-2027/Budget &amp; Precept/"/>
    </mc:Choice>
  </mc:AlternateContent>
  <xr:revisionPtr revIDLastSave="70" documentId="8_{72DE5E20-53A7-4F0D-84E1-020B7B78B088}" xr6:coauthVersionLast="47" xr6:coauthVersionMax="47" xr10:uidLastSave="{6B8A4204-ACE7-44B2-9059-47C7560C9286}"/>
  <bookViews>
    <workbookView xWindow="-19310" yWindow="-110" windowWidth="19420" windowHeight="10300" tabRatio="935" firstSheet="1" activeTab="1" xr2:uid="{00000000-000D-0000-FFFF-FFFF00000000}"/>
  </bookViews>
  <sheets>
    <sheet name="Progress" sheetId="34" state="hidden" r:id="rId1"/>
    <sheet name="2026-2027 Revenue Budget" sheetId="25" r:id="rId2"/>
    <sheet name="Admin Rchg (na)" sheetId="37" state="hidden" r:id="rId3"/>
    <sheet name="Project Budget 1112 - 1213" sheetId="44" state="hidden" r:id="rId4"/>
    <sheet name="Summary of points" sheetId="36" state="hidden" r:id="rId5"/>
    <sheet name="Changes per meeting 211209" sheetId="38" state="hidden" r:id="rId6"/>
    <sheet name="Revised Rec of Cash and Reserve" sheetId="47" state="hidden" r:id="rId7"/>
    <sheet name="Rec of Reserves and Cash" sheetId="46" state="hidden" r:id="rId8"/>
    <sheet name="Possible items funded from res" sheetId="45" state="hidden" r:id="rId9"/>
    <sheet name="MTFS" sheetId="53" r:id="rId10"/>
    <sheet name="Trial Balance" sheetId="41" state="hidden" r:id="rId11"/>
    <sheet name="Adjustments" sheetId="43" state="hidden" r:id="rId12"/>
    <sheet name="Corporate Management (x)" sheetId="13" state="hidden" r:id="rId13"/>
    <sheet name="Reserves" sheetId="17" r:id="rId14"/>
    <sheet name="Code Allocation" sheetId="42" state="hidden" r:id="rId15"/>
    <sheet name="Precept Summary Table" sheetId="23" state="hidden" r:id="rId16"/>
    <sheet name="Capital charges" sheetId="18" state="hidden" r:id="rId17"/>
    <sheet name="FAR 0809 Budgeted" sheetId="30" state="hidden" r:id="rId18"/>
    <sheet name="FAR 0910 Budgeted" sheetId="31" state="hidden" r:id="rId19"/>
    <sheet name="Goverment Grant Postings" sheetId="32" state="hidden" r:id="rId20"/>
    <sheet name="Admin Recharge" sheetId="8" state="hidden" r:id="rId21"/>
    <sheet name="Sheet1" sheetId="33" state="hidden" r:id="rId22"/>
    <sheet name="Insurance" sheetId="35" state="hidden" r:id="rId23"/>
    <sheet name="OT 0910" sheetId="39" state="hidden" r:id="rId24"/>
  </sheets>
  <externalReferences>
    <externalReference r:id="rId25"/>
    <externalReference r:id="rId26"/>
    <externalReference r:id="rId27"/>
  </externalReferences>
  <definedNames>
    <definedName name="_xlnm._FilterDatabase" localSheetId="14" hidden="1">'Code Allocation'!$A$1:$J$1018</definedName>
    <definedName name="_xlnm._FilterDatabase" localSheetId="17" hidden="1">'FAR 0809 Budgeted'!$A$9:$Y$116</definedName>
    <definedName name="_xlnm._FilterDatabase" localSheetId="18" hidden="1">'FAR 0910 Budgeted'!$A$9:$Y$116</definedName>
    <definedName name="_xlnm._FilterDatabase" localSheetId="23" hidden="1">'OT 0910'!$A$9:$F$420</definedName>
    <definedName name="_xlnm._FilterDatabase" localSheetId="21" hidden="1">Sheet1!$A$1:$R$403</definedName>
    <definedName name="_xlnm._FilterDatabase" localSheetId="10" hidden="1">'Trial Balance'!$A$3:$J$1620</definedName>
    <definedName name="_Order1" hidden="1">255</definedName>
    <definedName name="BalSheet" localSheetId="11">#REF!</definedName>
    <definedName name="BalSheet" localSheetId="14">#REF!</definedName>
    <definedName name="BalSheet" localSheetId="10">#REF!</definedName>
    <definedName name="BalSheet">#REF!</definedName>
    <definedName name="Big_Movers" localSheetId="11">#REF!</definedName>
    <definedName name="Big_Movers" localSheetId="14">#REF!</definedName>
    <definedName name="Big_Movers" localSheetId="10">#REF!</definedName>
    <definedName name="Big_Movers">#REF!</definedName>
    <definedName name="BSTrialBal" localSheetId="11">#REF!</definedName>
    <definedName name="BSTrialBal" localSheetId="14">#REF!</definedName>
    <definedName name="BSTrialBal" localSheetId="10">#REF!</definedName>
    <definedName name="BSTrialBal">#REF!</definedName>
    <definedName name="CBank">[1]TB!$E$47</definedName>
    <definedName name="CC" localSheetId="11">'[2]2001-02 AR'!#REF!</definedName>
    <definedName name="CC" localSheetId="14">'[2]2001-02 AR'!#REF!</definedName>
    <definedName name="CC" localSheetId="10">'[2]2001-02 AR'!#REF!</definedName>
    <definedName name="CC">'[2]2001-02 AR'!#REF!</definedName>
    <definedName name="CCash">[1]TB!$E$35</definedName>
    <definedName name="CD_Originals" localSheetId="11">#REF!</definedName>
    <definedName name="CD_Originals" localSheetId="14">#REF!</definedName>
    <definedName name="CD_Originals" localSheetId="10">#REF!</definedName>
    <definedName name="CD_Originals">#REF!</definedName>
    <definedName name="Community2" localSheetId="11">'[3]Comm Dev'!#REF!</definedName>
    <definedName name="Community2" localSheetId="14">'[3]Comm Dev'!#REF!</definedName>
    <definedName name="Community2" localSheetId="10">'[3]Comm Dev'!#REF!</definedName>
    <definedName name="Community2">'[3]Comm Dev'!#REF!</definedName>
    <definedName name="CommunityAssets" localSheetId="17">'FAR 0809 Budgeted'!$A$66:$V$110</definedName>
    <definedName name="CommunityAssets" localSheetId="18">'FAR 0910 Budgeted'!$A$66:$V$110</definedName>
    <definedName name="ConRevAc" localSheetId="11">#REF!</definedName>
    <definedName name="ConRevAc" localSheetId="14">#REF!</definedName>
    <definedName name="ConRevAc" localSheetId="10">#REF!</definedName>
    <definedName name="ConRevAc">#REF!</definedName>
    <definedName name="CRANotes1_5" localSheetId="11">#REF!</definedName>
    <definedName name="CRANotes1_5" localSheetId="14">#REF!</definedName>
    <definedName name="CRANotes1_5" localSheetId="10">#REF!</definedName>
    <definedName name="CRANotes1_5">#REF!</definedName>
    <definedName name="CStock">[1]TB!$E$17</definedName>
    <definedName name="CTemp">[1]TB!$E$32</definedName>
    <definedName name="directors_fwd" localSheetId="11">#REF!</definedName>
    <definedName name="directors_fwd" localSheetId="14">#REF!</definedName>
    <definedName name="directors_fwd" localSheetId="10">#REF!</definedName>
    <definedName name="directors_fwd">#REF!</definedName>
    <definedName name="Env_Originals" localSheetId="11">#REF!</definedName>
    <definedName name="Env_Originals" localSheetId="14">#REF!</definedName>
    <definedName name="Env_Originals" localSheetId="10">#REF!</definedName>
    <definedName name="Env_Originals">#REF!</definedName>
    <definedName name="FAR" localSheetId="17">'FAR 0809 Budgeted'!$A$10:$V$120</definedName>
    <definedName name="FAR" localSheetId="18">'FAR 0910 Budgeted'!$A$10:$V$120</definedName>
    <definedName name="Fulllistfordepn">#REF!</definedName>
    <definedName name="FurnitureEquipment" localSheetId="17">'FAR 0809 Budgeted'!$A$31:$V$35</definedName>
    <definedName name="FurnitureEquipment" localSheetId="18">'FAR 0910 Budgeted'!$A$31:$V$35</definedName>
    <definedName name="General_Fund" localSheetId="11">#REF!</definedName>
    <definedName name="General_Fund" localSheetId="14">#REF!</definedName>
    <definedName name="General_Fund" localSheetId="10">#REF!</definedName>
    <definedName name="General_Fund">#REF!</definedName>
    <definedName name="LandBuildings" localSheetId="17">'FAR 0809 Budgeted'!$A$10:$V$20</definedName>
    <definedName name="LandBuildings" localSheetId="18">'FAR 0910 Budgeted'!$A$10:$V$20</definedName>
    <definedName name="MotorVehicles" localSheetId="17">'FAR 0809 Budgeted'!$A$21:$V$30</definedName>
    <definedName name="MotorVehicles" localSheetId="18">'FAR 0910 Budgeted'!$A$21:$V$30</definedName>
    <definedName name="OriginalDivs" localSheetId="11">#REF!</definedName>
    <definedName name="OriginalDivs" localSheetId="14">#REF!</definedName>
    <definedName name="OriginalDivs" localSheetId="10">#REF!</definedName>
    <definedName name="OriginalDivs">#REF!</definedName>
    <definedName name="OrigServices" localSheetId="11">#REF!</definedName>
    <definedName name="OrigServices" localSheetId="14">#REF!</definedName>
    <definedName name="OrigServices" localSheetId="10">#REF!</definedName>
    <definedName name="OrigServices">#REF!</definedName>
    <definedName name="OtherEquipmentAssets" localSheetId="17">'FAR 0809 Budgeted'!$A$36:$V$43</definedName>
    <definedName name="OtherEquipmentAssets" localSheetId="18">'FAR 0910 Budgeted'!$A$36:$V$43</definedName>
    <definedName name="PlantMachinery" localSheetId="17">'FAR 0809 Budgeted'!$A$44:$V$53</definedName>
    <definedName name="PlantMachinery" localSheetId="18">'FAR 0910 Budgeted'!$A$44:$V$53</definedName>
    <definedName name="Playequipment" localSheetId="17">'FAR 0809 Budgeted'!$A$54:$V$65</definedName>
    <definedName name="Playequipment" localSheetId="18">'FAR 0910 Budgeted'!$A$54:$V$65</definedName>
    <definedName name="PR_Originals" localSheetId="11">#REF!</definedName>
    <definedName name="PR_Originals" localSheetId="14">#REF!</definedName>
    <definedName name="PR_Originals" localSheetId="10">#REF!</definedName>
    <definedName name="PR_Originals">#REF!</definedName>
    <definedName name="Principles" localSheetId="11">#REF!</definedName>
    <definedName name="Principles" localSheetId="14">#REF!</definedName>
    <definedName name="Principles" localSheetId="10">#REF!</definedName>
    <definedName name="Principles">#REF!</definedName>
    <definedName name="_xlnm.Print_Area" localSheetId="1">'2026-2027 Revenue Budget'!$A$1:$D$43</definedName>
    <definedName name="_xlnm.Print_Area" localSheetId="2">'Admin Rchg (na)'!$A$1:$G$35</definedName>
    <definedName name="_xlnm.Print_Area" localSheetId="14">'Code Allocation'!#REF!</definedName>
    <definedName name="_xlnm.Print_Area" localSheetId="12">'Corporate Management (x)'!$C$1:$K$99</definedName>
    <definedName name="_xlnm.Print_Area" localSheetId="17">'FAR 0809 Budgeted'!$A$1:$Y$120</definedName>
    <definedName name="_xlnm.Print_Area" localSheetId="18">'FAR 0910 Budgeted'!$A$1:$Y$120</definedName>
    <definedName name="_xlnm.Print_Area" localSheetId="9">MTFS!$A$1:$H$40</definedName>
    <definedName name="_xlnm.Print_Area" localSheetId="23">'OT 0910'!$A$1:$F$421</definedName>
    <definedName name="_xlnm.Print_Area" localSheetId="3">'Project Budget 1112 - 1213'!$A$1:$H$66</definedName>
    <definedName name="_xlnm.Print_Area" localSheetId="7">'Rec of Reserves and Cash'!$A$1:$C$23</definedName>
    <definedName name="_xlnm.Print_Area" localSheetId="4">'Summary of points'!$A$1:$H$147</definedName>
    <definedName name="_xlnm.Print_Area" localSheetId="10">'Trial Balance'!$A$3:$J$1624</definedName>
    <definedName name="Print_Area_MI">#REF!</definedName>
    <definedName name="_xlnm.Print_Titles" localSheetId="12">'Corporate Management (x)'!$1:$7</definedName>
    <definedName name="_xlnm.Print_Titles" localSheetId="17">'FAR 0809 Budgeted'!$A:$E,'FAR 0809 Budgeted'!$5:$9</definedName>
    <definedName name="_xlnm.Print_Titles" localSheetId="18">'FAR 0910 Budgeted'!$A:$E,'FAR 0910 Budgeted'!$5:$9</definedName>
    <definedName name="RevisedDivs">#REF!</definedName>
    <definedName name="RevisedServices" localSheetId="11">#REF!</definedName>
    <definedName name="RevisedServices" localSheetId="14">#REF!</definedName>
    <definedName name="RevisedServices" localSheetId="10">#REF!</definedName>
    <definedName name="RevisedServices">#REF!</definedName>
    <definedName name="Values0001" localSheetId="11">#REF!</definedName>
    <definedName name="Values0001" localSheetId="14">#REF!</definedName>
    <definedName name="Values0001" localSheetId="10">#REF!</definedName>
    <definedName name="Values0001">#REF!</definedName>
    <definedName name="Values0102" localSheetId="11">#REF!</definedName>
    <definedName name="Values0102" localSheetId="14">#REF!</definedName>
    <definedName name="Values0102" localSheetId="10">#REF!</definedName>
    <definedName name="Values0102">#REF!</definedName>
    <definedName name="WDS" localSheetId="11">#REF!</definedName>
    <definedName name="WDS" localSheetId="14">#REF!</definedName>
    <definedName name="WDS" localSheetId="10">#REF!</definedName>
    <definedName name="WDS">#REF!</definedName>
    <definedName name="WIP" localSheetId="17">'FAR 0809 Budgeted'!$A$111:$V$116</definedName>
    <definedName name="WIP" localSheetId="18">'FAR 0910 Budgeted'!$A$111:$V$116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2" i="25" l="1"/>
  <c r="D42" i="25" s="1"/>
  <c r="I3" i="17" l="1"/>
  <c r="F3" i="17"/>
  <c r="P419" i="39" l="1"/>
  <c r="Q419" i="39" s="1"/>
  <c r="G419" i="39"/>
  <c r="E419" i="39"/>
  <c r="H419" i="39" s="1"/>
  <c r="E415" i="39"/>
  <c r="F412" i="39"/>
  <c r="E412" i="39"/>
  <c r="D412" i="39"/>
  <c r="H411" i="39"/>
  <c r="H412" i="39" s="1"/>
  <c r="G411" i="39"/>
  <c r="G412" i="39" s="1"/>
  <c r="F409" i="39"/>
  <c r="E409" i="39"/>
  <c r="D409" i="39"/>
  <c r="P408" i="39"/>
  <c r="Q408" i="39" s="1"/>
  <c r="H408" i="39"/>
  <c r="G408" i="39"/>
  <c r="P407" i="39"/>
  <c r="Q407" i="39" s="1"/>
  <c r="H407" i="39"/>
  <c r="H409" i="39" s="1"/>
  <c r="G407" i="39"/>
  <c r="G409" i="39" s="1"/>
  <c r="F405" i="39"/>
  <c r="P405" i="39" s="1"/>
  <c r="Q405" i="39" s="1"/>
  <c r="D405" i="39"/>
  <c r="H404" i="39"/>
  <c r="G404" i="39"/>
  <c r="P403" i="39"/>
  <c r="Q403" i="39" s="1"/>
  <c r="G403" i="39"/>
  <c r="E403" i="39"/>
  <c r="H403" i="39" s="1"/>
  <c r="P402" i="39"/>
  <c r="Q402" i="39" s="1"/>
  <c r="H402" i="39"/>
  <c r="G402" i="39"/>
  <c r="E402" i="39"/>
  <c r="H401" i="39"/>
  <c r="G401" i="39"/>
  <c r="P400" i="39"/>
  <c r="Q400" i="39" s="1"/>
  <c r="H400" i="39"/>
  <c r="G400" i="39"/>
  <c r="P399" i="39"/>
  <c r="Q399" i="39" s="1"/>
  <c r="H399" i="39"/>
  <c r="H405" i="39" s="1"/>
  <c r="G399" i="39"/>
  <c r="G405" i="39" s="1"/>
  <c r="E398" i="39"/>
  <c r="F395" i="39"/>
  <c r="E395" i="39"/>
  <c r="D395" i="39"/>
  <c r="P394" i="39"/>
  <c r="Q394" i="39" s="1"/>
  <c r="H394" i="39"/>
  <c r="G394" i="39"/>
  <c r="P393" i="39"/>
  <c r="Q393" i="39" s="1"/>
  <c r="H393" i="39"/>
  <c r="H395" i="39" s="1"/>
  <c r="G393" i="39"/>
  <c r="G395" i="39" s="1"/>
  <c r="F391" i="39"/>
  <c r="P391" i="39" s="1"/>
  <c r="Q391" i="39" s="1"/>
  <c r="D391" i="39"/>
  <c r="H390" i="39"/>
  <c r="G390" i="39"/>
  <c r="H389" i="39"/>
  <c r="G389" i="39"/>
  <c r="H388" i="39"/>
  <c r="G388" i="39"/>
  <c r="G387" i="39"/>
  <c r="E387" i="39"/>
  <c r="H387" i="39" s="1"/>
  <c r="P386" i="39"/>
  <c r="Q386" i="39" s="1"/>
  <c r="G386" i="39"/>
  <c r="E386" i="39"/>
  <c r="H386" i="39" s="1"/>
  <c r="P385" i="39"/>
  <c r="Q385" i="39" s="1"/>
  <c r="G385" i="39"/>
  <c r="G391" i="39" s="1"/>
  <c r="E385" i="39"/>
  <c r="H385" i="39" s="1"/>
  <c r="H391" i="39" s="1"/>
  <c r="E384" i="39"/>
  <c r="F381" i="39"/>
  <c r="P381" i="39" s="1"/>
  <c r="Q381" i="39" s="1"/>
  <c r="E381" i="39"/>
  <c r="D381" i="39"/>
  <c r="P380" i="39"/>
  <c r="Q380" i="39" s="1"/>
  <c r="H380" i="39"/>
  <c r="G380" i="39"/>
  <c r="P379" i="39"/>
  <c r="Q379" i="39" s="1"/>
  <c r="H379" i="39"/>
  <c r="H381" i="39" s="1"/>
  <c r="G379" i="39"/>
  <c r="G381" i="39" s="1"/>
  <c r="F377" i="39"/>
  <c r="P377" i="39" s="1"/>
  <c r="Q377" i="39" s="1"/>
  <c r="D377" i="39"/>
  <c r="Q376" i="39"/>
  <c r="P376" i="39"/>
  <c r="G376" i="39"/>
  <c r="G377" i="39" s="1"/>
  <c r="E376" i="39"/>
  <c r="F374" i="39"/>
  <c r="P374" i="39" s="1"/>
  <c r="Q374" i="39" s="1"/>
  <c r="E374" i="39"/>
  <c r="D374" i="39"/>
  <c r="P373" i="39"/>
  <c r="Q373" i="39" s="1"/>
  <c r="H373" i="39"/>
  <c r="H374" i="39" s="1"/>
  <c r="G373" i="39"/>
  <c r="G374" i="39" s="1"/>
  <c r="F371" i="39"/>
  <c r="P371" i="39" s="1"/>
  <c r="Q371" i="39" s="1"/>
  <c r="D371" i="39"/>
  <c r="P370" i="39"/>
  <c r="Q370" i="39" s="1"/>
  <c r="G370" i="39"/>
  <c r="E370" i="39"/>
  <c r="H370" i="39" s="1"/>
  <c r="G369" i="39"/>
  <c r="E369" i="39"/>
  <c r="H369" i="39" s="1"/>
  <c r="G368" i="39"/>
  <c r="E368" i="39"/>
  <c r="H368" i="39" s="1"/>
  <c r="P367" i="39"/>
  <c r="Q367" i="39" s="1"/>
  <c r="G367" i="39"/>
  <c r="E367" i="39"/>
  <c r="H367" i="39" s="1"/>
  <c r="P366" i="39"/>
  <c r="Q366" i="39" s="1"/>
  <c r="G366" i="39"/>
  <c r="E366" i="39"/>
  <c r="H366" i="39" s="1"/>
  <c r="P365" i="39"/>
  <c r="Q365" i="39" s="1"/>
  <c r="G365" i="39"/>
  <c r="E365" i="39"/>
  <c r="H365" i="39" s="1"/>
  <c r="G364" i="39"/>
  <c r="E364" i="39"/>
  <c r="H364" i="39" s="1"/>
  <c r="P363" i="39"/>
  <c r="Q363" i="39" s="1"/>
  <c r="H363" i="39"/>
  <c r="G363" i="39"/>
  <c r="P362" i="39"/>
  <c r="Q362" i="39" s="1"/>
  <c r="G362" i="39"/>
  <c r="E362" i="39"/>
  <c r="H362" i="39" s="1"/>
  <c r="P361" i="39"/>
  <c r="Q361" i="39" s="1"/>
  <c r="G361" i="39"/>
  <c r="E361" i="39"/>
  <c r="H361" i="39" s="1"/>
  <c r="P360" i="39"/>
  <c r="Q360" i="39" s="1"/>
  <c r="H360" i="39"/>
  <c r="G360" i="39"/>
  <c r="H359" i="39"/>
  <c r="G359" i="39"/>
  <c r="P358" i="39"/>
  <c r="Q358" i="39" s="1"/>
  <c r="H358" i="39"/>
  <c r="G358" i="39"/>
  <c r="Q357" i="39"/>
  <c r="P357" i="39"/>
  <c r="G357" i="39"/>
  <c r="E357" i="39"/>
  <c r="H357" i="39" s="1"/>
  <c r="P356" i="39"/>
  <c r="Q356" i="39" s="1"/>
  <c r="G356" i="39"/>
  <c r="E356" i="39"/>
  <c r="P355" i="39"/>
  <c r="Q355" i="39" s="1"/>
  <c r="H355" i="39"/>
  <c r="G355" i="39"/>
  <c r="P354" i="39"/>
  <c r="Q354" i="39" s="1"/>
  <c r="G354" i="39"/>
  <c r="G371" i="39" s="1"/>
  <c r="E354" i="39"/>
  <c r="H354" i="39" s="1"/>
  <c r="H371" i="39" s="1"/>
  <c r="F352" i="39"/>
  <c r="P352" i="39" s="1"/>
  <c r="Q352" i="39" s="1"/>
  <c r="D352" i="39"/>
  <c r="P351" i="39"/>
  <c r="Q351" i="39" s="1"/>
  <c r="G351" i="39"/>
  <c r="E351" i="39"/>
  <c r="H351" i="39" s="1"/>
  <c r="P350" i="39"/>
  <c r="Q350" i="39" s="1"/>
  <c r="G350" i="39"/>
  <c r="E350" i="39"/>
  <c r="H350" i="39" s="1"/>
  <c r="P349" i="39"/>
  <c r="Q349" i="39" s="1"/>
  <c r="G349" i="39"/>
  <c r="E349" i="39"/>
  <c r="H349" i="39" s="1"/>
  <c r="H348" i="39"/>
  <c r="G348" i="39"/>
  <c r="P347" i="39"/>
  <c r="Q347" i="39" s="1"/>
  <c r="G347" i="39"/>
  <c r="E347" i="39"/>
  <c r="H347" i="39" s="1"/>
  <c r="Q346" i="39"/>
  <c r="P346" i="39"/>
  <c r="G346" i="39"/>
  <c r="E346" i="39"/>
  <c r="H346" i="39" s="1"/>
  <c r="P345" i="39"/>
  <c r="Q345" i="39" s="1"/>
  <c r="G345" i="39"/>
  <c r="G352" i="39" s="1"/>
  <c r="E345" i="39"/>
  <c r="H345" i="39" s="1"/>
  <c r="H352" i="39" s="1"/>
  <c r="F343" i="39"/>
  <c r="P343" i="39" s="1"/>
  <c r="Q343" i="39" s="1"/>
  <c r="D343" i="39"/>
  <c r="P342" i="39"/>
  <c r="Q342" i="39" s="1"/>
  <c r="G342" i="39"/>
  <c r="G343" i="39" s="1"/>
  <c r="E342" i="39"/>
  <c r="H342" i="39" s="1"/>
  <c r="H343" i="39" s="1"/>
  <c r="F340" i="39"/>
  <c r="P340" i="39" s="1"/>
  <c r="Q340" i="39" s="1"/>
  <c r="D340" i="39"/>
  <c r="P339" i="39"/>
  <c r="Q339" i="39" s="1"/>
  <c r="G339" i="39"/>
  <c r="E339" i="39"/>
  <c r="P338" i="39"/>
  <c r="Q338" i="39" s="1"/>
  <c r="H338" i="39"/>
  <c r="G338" i="39"/>
  <c r="P337" i="39"/>
  <c r="Q337" i="39" s="1"/>
  <c r="H337" i="39"/>
  <c r="G337" i="39"/>
  <c r="P336" i="39"/>
  <c r="Q336" i="39" s="1"/>
  <c r="H336" i="39"/>
  <c r="H340" i="39" s="1"/>
  <c r="G336" i="39"/>
  <c r="G340" i="39" s="1"/>
  <c r="E335" i="39"/>
  <c r="F332" i="39"/>
  <c r="P332" i="39" s="1"/>
  <c r="Q332" i="39" s="1"/>
  <c r="E332" i="39"/>
  <c r="D332" i="39"/>
  <c r="P331" i="39"/>
  <c r="Q331" i="39" s="1"/>
  <c r="H331" i="39"/>
  <c r="G331" i="39"/>
  <c r="P330" i="39"/>
  <c r="Q330" i="39" s="1"/>
  <c r="H330" i="39"/>
  <c r="H332" i="39" s="1"/>
  <c r="G330" i="39"/>
  <c r="G332" i="39" s="1"/>
  <c r="F328" i="39"/>
  <c r="P328" i="39" s="1"/>
  <c r="Q328" i="39" s="1"/>
  <c r="D328" i="39"/>
  <c r="H327" i="39"/>
  <c r="G327" i="39"/>
  <c r="P326" i="39"/>
  <c r="Q326" i="39" s="1"/>
  <c r="G326" i="39"/>
  <c r="E326" i="39"/>
  <c r="H326" i="39" s="1"/>
  <c r="P325" i="39"/>
  <c r="Q325" i="39" s="1"/>
  <c r="G325" i="39"/>
  <c r="E325" i="39"/>
  <c r="P324" i="39"/>
  <c r="Q324" i="39" s="1"/>
  <c r="H324" i="39"/>
  <c r="G324" i="39"/>
  <c r="F322" i="39"/>
  <c r="D322" i="39"/>
  <c r="P321" i="39"/>
  <c r="Q321" i="39" s="1"/>
  <c r="H321" i="39"/>
  <c r="G321" i="39"/>
  <c r="P320" i="39"/>
  <c r="Q320" i="39" s="1"/>
  <c r="H320" i="39"/>
  <c r="H328" i="39" s="1"/>
  <c r="G320" i="39"/>
  <c r="G328" i="39" s="1"/>
  <c r="G319" i="39"/>
  <c r="E319" i="39"/>
  <c r="H319" i="39" s="1"/>
  <c r="P318" i="39"/>
  <c r="Q318" i="39" s="1"/>
  <c r="G318" i="39"/>
  <c r="E318" i="39"/>
  <c r="H318" i="39" s="1"/>
  <c r="P317" i="39"/>
  <c r="Q317" i="39" s="1"/>
  <c r="G317" i="39"/>
  <c r="E317" i="39"/>
  <c r="H317" i="39" s="1"/>
  <c r="P316" i="39"/>
  <c r="Q316" i="39" s="1"/>
  <c r="G316" i="39"/>
  <c r="E316" i="39"/>
  <c r="H316" i="39" s="1"/>
  <c r="P315" i="39"/>
  <c r="Q315" i="39" s="1"/>
  <c r="H315" i="39"/>
  <c r="G315" i="39"/>
  <c r="H313" i="39"/>
  <c r="G313" i="39"/>
  <c r="P312" i="39"/>
  <c r="Q312" i="39" s="1"/>
  <c r="H312" i="39"/>
  <c r="G312" i="39"/>
  <c r="P311" i="39"/>
  <c r="Q311" i="39" s="1"/>
  <c r="H311" i="39"/>
  <c r="G311" i="39"/>
  <c r="P310" i="39"/>
  <c r="Q310" i="39" s="1"/>
  <c r="H310" i="39"/>
  <c r="G310" i="39"/>
  <c r="P309" i="39"/>
  <c r="Q309" i="39" s="1"/>
  <c r="H309" i="39"/>
  <c r="G309" i="39"/>
  <c r="P308" i="39"/>
  <c r="Q308" i="39" s="1"/>
  <c r="H308" i="39"/>
  <c r="G308" i="39"/>
  <c r="P307" i="39"/>
  <c r="Q307" i="39" s="1"/>
  <c r="H307" i="39"/>
  <c r="G307" i="39"/>
  <c r="P306" i="39"/>
  <c r="Q306" i="39" s="1"/>
  <c r="G306" i="39"/>
  <c r="E306" i="39"/>
  <c r="H306" i="39" s="1"/>
  <c r="P305" i="39"/>
  <c r="Q305" i="39" s="1"/>
  <c r="G305" i="39"/>
  <c r="E305" i="39"/>
  <c r="H305" i="39" s="1"/>
  <c r="G304" i="39"/>
  <c r="E304" i="39"/>
  <c r="H304" i="39" s="1"/>
  <c r="H303" i="39"/>
  <c r="G303" i="39"/>
  <c r="P302" i="39"/>
  <c r="Q302" i="39" s="1"/>
  <c r="H302" i="39"/>
  <c r="G302" i="39"/>
  <c r="P301" i="39"/>
  <c r="Q301" i="39" s="1"/>
  <c r="G301" i="39"/>
  <c r="E301" i="39"/>
  <c r="H301" i="39" s="1"/>
  <c r="P300" i="39"/>
  <c r="Q300" i="39" s="1"/>
  <c r="G300" i="39"/>
  <c r="G322" i="39" s="1"/>
  <c r="E300" i="39"/>
  <c r="H300" i="39" s="1"/>
  <c r="H322" i="39" s="1"/>
  <c r="F298" i="39"/>
  <c r="P298" i="39" s="1"/>
  <c r="Q298" i="39" s="1"/>
  <c r="D298" i="39"/>
  <c r="H297" i="39"/>
  <c r="G297" i="39"/>
  <c r="H296" i="39"/>
  <c r="G296" i="39"/>
  <c r="P295" i="39"/>
  <c r="Q295" i="39" s="1"/>
  <c r="G295" i="39"/>
  <c r="G298" i="39" s="1"/>
  <c r="E295" i="39"/>
  <c r="E294" i="39"/>
  <c r="P290" i="39"/>
  <c r="Q290" i="39" s="1"/>
  <c r="F290" i="39"/>
  <c r="E290" i="39"/>
  <c r="D290" i="39"/>
  <c r="P289" i="39"/>
  <c r="Q289" i="39" s="1"/>
  <c r="H289" i="39"/>
  <c r="G289" i="39"/>
  <c r="P288" i="39"/>
  <c r="Q288" i="39" s="1"/>
  <c r="H288" i="39"/>
  <c r="G288" i="39"/>
  <c r="F286" i="39"/>
  <c r="P286" i="39" s="1"/>
  <c r="Q286" i="39" s="1"/>
  <c r="D286" i="39"/>
  <c r="P285" i="39"/>
  <c r="Q285" i="39" s="1"/>
  <c r="G285" i="39"/>
  <c r="G286" i="39" s="1"/>
  <c r="E285" i="39"/>
  <c r="H285" i="39" s="1"/>
  <c r="H286" i="39" s="1"/>
  <c r="F282" i="39"/>
  <c r="P282" i="39" s="1"/>
  <c r="Q282" i="39" s="1"/>
  <c r="D282" i="39"/>
  <c r="P281" i="39"/>
  <c r="Q281" i="39" s="1"/>
  <c r="G281" i="39"/>
  <c r="E281" i="39"/>
  <c r="H281" i="39" s="1"/>
  <c r="P280" i="39"/>
  <c r="Q280" i="39" s="1"/>
  <c r="H280" i="39"/>
  <c r="G280" i="39"/>
  <c r="G279" i="39"/>
  <c r="E279" i="39"/>
  <c r="P278" i="39"/>
  <c r="Q278" i="39" s="1"/>
  <c r="H278" i="39"/>
  <c r="H282" i="39" s="1"/>
  <c r="G278" i="39"/>
  <c r="G282" i="39" s="1"/>
  <c r="F276" i="39"/>
  <c r="P276" i="39" s="1"/>
  <c r="Q276" i="39" s="1"/>
  <c r="E276" i="39"/>
  <c r="D276" i="39"/>
  <c r="P275" i="39"/>
  <c r="Q275" i="39" s="1"/>
  <c r="H275" i="39"/>
  <c r="G275" i="39"/>
  <c r="P273" i="39"/>
  <c r="Q273" i="39" s="1"/>
  <c r="H273" i="39"/>
  <c r="G273" i="39"/>
  <c r="P272" i="39"/>
  <c r="Q272" i="39" s="1"/>
  <c r="H272" i="39"/>
  <c r="H276" i="39" s="1"/>
  <c r="G272" i="39"/>
  <c r="G276" i="39" s="1"/>
  <c r="F269" i="39"/>
  <c r="P269" i="39" s="1"/>
  <c r="Q269" i="39" s="1"/>
  <c r="E269" i="39"/>
  <c r="D269" i="39"/>
  <c r="H268" i="39"/>
  <c r="G268" i="39"/>
  <c r="P267" i="39"/>
  <c r="Q267" i="39" s="1"/>
  <c r="H267" i="39"/>
  <c r="G267" i="39"/>
  <c r="H266" i="39"/>
  <c r="H269" i="39" s="1"/>
  <c r="G266" i="39"/>
  <c r="G269" i="39" s="1"/>
  <c r="G264" i="39"/>
  <c r="F264" i="39"/>
  <c r="P264" i="39" s="1"/>
  <c r="Q264" i="39" s="1"/>
  <c r="E264" i="39"/>
  <c r="D264" i="39"/>
  <c r="Q263" i="39"/>
  <c r="P263" i="39"/>
  <c r="H263" i="39"/>
  <c r="G263" i="39"/>
  <c r="P262" i="39"/>
  <c r="Q262" i="39" s="1"/>
  <c r="H262" i="39"/>
  <c r="H264" i="39" s="1"/>
  <c r="G262" i="39"/>
  <c r="F260" i="39"/>
  <c r="P260" i="39" s="1"/>
  <c r="Q260" i="39" s="1"/>
  <c r="E260" i="39"/>
  <c r="D260" i="39"/>
  <c r="P259" i="39"/>
  <c r="Q259" i="39" s="1"/>
  <c r="H259" i="39"/>
  <c r="H260" i="39" s="1"/>
  <c r="G259" i="39"/>
  <c r="G260" i="39" s="1"/>
  <c r="E257" i="39"/>
  <c r="D257" i="39"/>
  <c r="F256" i="39"/>
  <c r="P254" i="39"/>
  <c r="Q254" i="39" s="1"/>
  <c r="F254" i="39"/>
  <c r="D254" i="39"/>
  <c r="P253" i="39"/>
  <c r="Q253" i="39" s="1"/>
  <c r="H253" i="39"/>
  <c r="G253" i="39"/>
  <c r="P252" i="39"/>
  <c r="Q252" i="39" s="1"/>
  <c r="G252" i="39"/>
  <c r="E252" i="39"/>
  <c r="H252" i="39" s="1"/>
  <c r="H251" i="39"/>
  <c r="G251" i="39"/>
  <c r="H250" i="39"/>
  <c r="G250" i="39"/>
  <c r="P249" i="39"/>
  <c r="Q249" i="39" s="1"/>
  <c r="G249" i="39"/>
  <c r="E249" i="39"/>
  <c r="H249" i="39" s="1"/>
  <c r="Q248" i="39"/>
  <c r="P248" i="39"/>
  <c r="G248" i="39"/>
  <c r="G254" i="39" s="1"/>
  <c r="E248" i="39"/>
  <c r="H248" i="39" s="1"/>
  <c r="H254" i="39" s="1"/>
  <c r="F246" i="39"/>
  <c r="P246" i="39" s="1"/>
  <c r="Q246" i="39" s="1"/>
  <c r="D246" i="39"/>
  <c r="P245" i="39"/>
  <c r="Q245" i="39" s="1"/>
  <c r="H245" i="39"/>
  <c r="G245" i="39"/>
  <c r="P244" i="39"/>
  <c r="Q244" i="39" s="1"/>
  <c r="H244" i="39"/>
  <c r="G244" i="39"/>
  <c r="P243" i="39"/>
  <c r="Q243" i="39" s="1"/>
  <c r="H243" i="39"/>
  <c r="G243" i="39"/>
  <c r="H242" i="39"/>
  <c r="G242" i="39"/>
  <c r="P241" i="39"/>
  <c r="Q241" i="39" s="1"/>
  <c r="H241" i="39"/>
  <c r="G241" i="39"/>
  <c r="G240" i="39"/>
  <c r="E240" i="39"/>
  <c r="H240" i="39" s="1"/>
  <c r="P239" i="39"/>
  <c r="Q239" i="39" s="1"/>
  <c r="G239" i="39"/>
  <c r="E239" i="39"/>
  <c r="H239" i="39" s="1"/>
  <c r="P238" i="39"/>
  <c r="Q238" i="39" s="1"/>
  <c r="G238" i="39"/>
  <c r="E238" i="39"/>
  <c r="H238" i="39" s="1"/>
  <c r="H237" i="39"/>
  <c r="G237" i="39"/>
  <c r="H236" i="39"/>
  <c r="G236" i="39"/>
  <c r="P235" i="39"/>
  <c r="Q235" i="39" s="1"/>
  <c r="H235" i="39"/>
  <c r="H246" i="39" s="1"/>
  <c r="G235" i="39"/>
  <c r="G246" i="39" s="1"/>
  <c r="E234" i="39"/>
  <c r="F229" i="39"/>
  <c r="P229" i="39" s="1"/>
  <c r="Q229" i="39" s="1"/>
  <c r="D229" i="39"/>
  <c r="P228" i="39"/>
  <c r="Q228" i="39" s="1"/>
  <c r="G228" i="39"/>
  <c r="G229" i="39" s="1"/>
  <c r="E228" i="39"/>
  <c r="H228" i="39" s="1"/>
  <c r="H229" i="39" s="1"/>
  <c r="F226" i="39"/>
  <c r="P226" i="39" s="1"/>
  <c r="Q226" i="39" s="1"/>
  <c r="E226" i="39"/>
  <c r="D226" i="39"/>
  <c r="P225" i="39"/>
  <c r="Q225" i="39" s="1"/>
  <c r="H225" i="39"/>
  <c r="H226" i="39" s="1"/>
  <c r="G225" i="39"/>
  <c r="G226" i="39" s="1"/>
  <c r="F223" i="39"/>
  <c r="P223" i="39" s="1"/>
  <c r="Q223" i="39" s="1"/>
  <c r="D223" i="39"/>
  <c r="P222" i="39"/>
  <c r="Q222" i="39" s="1"/>
  <c r="G222" i="39"/>
  <c r="G223" i="39" s="1"/>
  <c r="E222" i="39"/>
  <c r="H222" i="39" s="1"/>
  <c r="H223" i="39" s="1"/>
  <c r="P220" i="39"/>
  <c r="Q220" i="39" s="1"/>
  <c r="F220" i="39"/>
  <c r="E220" i="39"/>
  <c r="D220" i="39"/>
  <c r="P219" i="39"/>
  <c r="Q219" i="39" s="1"/>
  <c r="H219" i="39"/>
  <c r="G219" i="39"/>
  <c r="P218" i="39"/>
  <c r="Q218" i="39" s="1"/>
  <c r="H218" i="39"/>
  <c r="G218" i="39"/>
  <c r="P217" i="39"/>
  <c r="Q217" i="39" s="1"/>
  <c r="H217" i="39"/>
  <c r="G217" i="39"/>
  <c r="P216" i="39"/>
  <c r="Q216" i="39" s="1"/>
  <c r="H216" i="39"/>
  <c r="G216" i="39"/>
  <c r="P215" i="39"/>
  <c r="Q215" i="39" s="1"/>
  <c r="H215" i="39"/>
  <c r="G215" i="39"/>
  <c r="H214" i="39"/>
  <c r="G214" i="39"/>
  <c r="H213" i="39"/>
  <c r="G213" i="39"/>
  <c r="H212" i="39"/>
  <c r="G212" i="39"/>
  <c r="H211" i="39"/>
  <c r="G211" i="39"/>
  <c r="P210" i="39"/>
  <c r="Q210" i="39" s="1"/>
  <c r="H210" i="39"/>
  <c r="H220" i="39" s="1"/>
  <c r="G210" i="39"/>
  <c r="G220" i="39" s="1"/>
  <c r="F204" i="39"/>
  <c r="P204" i="39" s="1"/>
  <c r="Q204" i="39" s="1"/>
  <c r="E204" i="39"/>
  <c r="D204" i="39"/>
  <c r="P203" i="39"/>
  <c r="Q203" i="39" s="1"/>
  <c r="H203" i="39"/>
  <c r="G203" i="39"/>
  <c r="P202" i="39"/>
  <c r="Q202" i="39" s="1"/>
  <c r="H202" i="39"/>
  <c r="G202" i="39"/>
  <c r="P201" i="39"/>
  <c r="Q201" i="39" s="1"/>
  <c r="H201" i="39"/>
  <c r="G201" i="39"/>
  <c r="P200" i="39"/>
  <c r="Q200" i="39" s="1"/>
  <c r="H200" i="39"/>
  <c r="H204" i="39" s="1"/>
  <c r="G200" i="39"/>
  <c r="G204" i="39" s="1"/>
  <c r="F198" i="39"/>
  <c r="P198" i="39" s="1"/>
  <c r="Q198" i="39" s="1"/>
  <c r="E198" i="39"/>
  <c r="D198" i="39"/>
  <c r="P197" i="39"/>
  <c r="Q197" i="39" s="1"/>
  <c r="H197" i="39"/>
  <c r="G197" i="39"/>
  <c r="P196" i="39"/>
  <c r="Q196" i="39" s="1"/>
  <c r="H196" i="39"/>
  <c r="H198" i="39" s="1"/>
  <c r="G196" i="39"/>
  <c r="G198" i="39" s="1"/>
  <c r="F194" i="39"/>
  <c r="P194" i="39" s="1"/>
  <c r="Q194" i="39" s="1"/>
  <c r="D194" i="39"/>
  <c r="P193" i="39"/>
  <c r="Q193" i="39" s="1"/>
  <c r="G193" i="39"/>
  <c r="E193" i="39"/>
  <c r="H193" i="39" s="1"/>
  <c r="P192" i="39"/>
  <c r="Q192" i="39" s="1"/>
  <c r="H192" i="39"/>
  <c r="G192" i="39"/>
  <c r="P191" i="39"/>
  <c r="Q191" i="39" s="1"/>
  <c r="H191" i="39"/>
  <c r="G191" i="39"/>
  <c r="P190" i="39"/>
  <c r="Q190" i="39" s="1"/>
  <c r="H190" i="39"/>
  <c r="H194" i="39" s="1"/>
  <c r="G190" i="39"/>
  <c r="G194" i="39" s="1"/>
  <c r="F188" i="39"/>
  <c r="P188" i="39" s="1"/>
  <c r="Q188" i="39" s="1"/>
  <c r="E188" i="39"/>
  <c r="D188" i="39"/>
  <c r="P187" i="39"/>
  <c r="Q187" i="39" s="1"/>
  <c r="H187" i="39"/>
  <c r="H188" i="39" s="1"/>
  <c r="G187" i="39"/>
  <c r="G188" i="39" s="1"/>
  <c r="F185" i="39"/>
  <c r="P185" i="39" s="1"/>
  <c r="Q185" i="39" s="1"/>
  <c r="D185" i="39"/>
  <c r="P184" i="39"/>
  <c r="Q184" i="39" s="1"/>
  <c r="G184" i="39"/>
  <c r="E184" i="39"/>
  <c r="H184" i="39" s="1"/>
  <c r="P183" i="39"/>
  <c r="Q183" i="39" s="1"/>
  <c r="G183" i="39"/>
  <c r="E183" i="39"/>
  <c r="H183" i="39" s="1"/>
  <c r="P182" i="39"/>
  <c r="Q182" i="39" s="1"/>
  <c r="G182" i="39"/>
  <c r="E182" i="39"/>
  <c r="H182" i="39" s="1"/>
  <c r="P181" i="39"/>
  <c r="Q181" i="39" s="1"/>
  <c r="G181" i="39"/>
  <c r="E181" i="39"/>
  <c r="H181" i="39" s="1"/>
  <c r="P180" i="39"/>
  <c r="Q180" i="39" s="1"/>
  <c r="G180" i="39"/>
  <c r="E180" i="39"/>
  <c r="H180" i="39" s="1"/>
  <c r="G179" i="39"/>
  <c r="E179" i="39"/>
  <c r="H179" i="39" s="1"/>
  <c r="P178" i="39"/>
  <c r="Q178" i="39" s="1"/>
  <c r="G178" i="39"/>
  <c r="E178" i="39"/>
  <c r="H178" i="39" s="1"/>
  <c r="P177" i="39"/>
  <c r="Q177" i="39" s="1"/>
  <c r="G177" i="39"/>
  <c r="E177" i="39"/>
  <c r="H177" i="39" s="1"/>
  <c r="P176" i="39"/>
  <c r="Q176" i="39" s="1"/>
  <c r="G176" i="39"/>
  <c r="E176" i="39"/>
  <c r="H176" i="39" s="1"/>
  <c r="P175" i="39"/>
  <c r="Q175" i="39" s="1"/>
  <c r="G175" i="39"/>
  <c r="E175" i="39"/>
  <c r="H175" i="39" s="1"/>
  <c r="P174" i="39"/>
  <c r="Q174" i="39" s="1"/>
  <c r="G174" i="39"/>
  <c r="E174" i="39"/>
  <c r="H174" i="39" s="1"/>
  <c r="P173" i="39"/>
  <c r="Q173" i="39" s="1"/>
  <c r="G173" i="39"/>
  <c r="G185" i="39" s="1"/>
  <c r="E173" i="39"/>
  <c r="F171" i="39"/>
  <c r="P171" i="39" s="1"/>
  <c r="Q171" i="39" s="1"/>
  <c r="D171" i="39"/>
  <c r="P170" i="39"/>
  <c r="Q170" i="39" s="1"/>
  <c r="G170" i="39"/>
  <c r="E170" i="39"/>
  <c r="H170" i="39" s="1"/>
  <c r="P169" i="39"/>
  <c r="Q169" i="39" s="1"/>
  <c r="G169" i="39"/>
  <c r="G171" i="39" s="1"/>
  <c r="E169" i="39"/>
  <c r="F167" i="39"/>
  <c r="P167" i="39" s="1"/>
  <c r="Q167" i="39" s="1"/>
  <c r="D167" i="39"/>
  <c r="P166" i="39"/>
  <c r="Q166" i="39" s="1"/>
  <c r="G166" i="39"/>
  <c r="E166" i="39"/>
  <c r="H166" i="39" s="1"/>
  <c r="P165" i="39"/>
  <c r="Q165" i="39" s="1"/>
  <c r="G165" i="39"/>
  <c r="E165" i="39"/>
  <c r="H165" i="39" s="1"/>
  <c r="P164" i="39"/>
  <c r="Q164" i="39" s="1"/>
  <c r="G164" i="39"/>
  <c r="E164" i="39"/>
  <c r="H164" i="39" s="1"/>
  <c r="P163" i="39"/>
  <c r="Q163" i="39" s="1"/>
  <c r="G163" i="39"/>
  <c r="E163" i="39"/>
  <c r="H163" i="39" s="1"/>
  <c r="P162" i="39"/>
  <c r="Q162" i="39" s="1"/>
  <c r="H162" i="39"/>
  <c r="G162" i="39"/>
  <c r="P161" i="39"/>
  <c r="Q161" i="39" s="1"/>
  <c r="H161" i="39"/>
  <c r="G161" i="39"/>
  <c r="H160" i="39"/>
  <c r="G160" i="39"/>
  <c r="P159" i="39"/>
  <c r="Q159" i="39" s="1"/>
  <c r="G159" i="39"/>
  <c r="E159" i="39"/>
  <c r="H159" i="39" s="1"/>
  <c r="P158" i="39"/>
  <c r="Q158" i="39" s="1"/>
  <c r="H158" i="39"/>
  <c r="G158" i="39"/>
  <c r="P157" i="39"/>
  <c r="Q157" i="39" s="1"/>
  <c r="H157" i="39"/>
  <c r="G157" i="39"/>
  <c r="P156" i="39"/>
  <c r="Q156" i="39" s="1"/>
  <c r="G156" i="39"/>
  <c r="G167" i="39" s="1"/>
  <c r="E156" i="39"/>
  <c r="H156" i="39" s="1"/>
  <c r="H167" i="39" s="1"/>
  <c r="F154" i="39"/>
  <c r="P154" i="39" s="1"/>
  <c r="Q154" i="39" s="1"/>
  <c r="D154" i="39"/>
  <c r="P153" i="39"/>
  <c r="Q153" i="39" s="1"/>
  <c r="G153" i="39"/>
  <c r="E153" i="39"/>
  <c r="E154" i="39" s="1"/>
  <c r="P152" i="39"/>
  <c r="Q152" i="39" s="1"/>
  <c r="H152" i="39"/>
  <c r="G152" i="39"/>
  <c r="P151" i="39"/>
  <c r="Q151" i="39" s="1"/>
  <c r="H151" i="39"/>
  <c r="G151" i="39"/>
  <c r="P150" i="39"/>
  <c r="Q150" i="39" s="1"/>
  <c r="H150" i="39"/>
  <c r="H154" i="39" s="1"/>
  <c r="G150" i="39"/>
  <c r="G154" i="39" s="1"/>
  <c r="E149" i="39"/>
  <c r="F146" i="39"/>
  <c r="P146" i="39" s="1"/>
  <c r="Q146" i="39" s="1"/>
  <c r="E146" i="39"/>
  <c r="D146" i="39"/>
  <c r="P145" i="39"/>
  <c r="Q145" i="39" s="1"/>
  <c r="H145" i="39"/>
  <c r="G145" i="39"/>
  <c r="P144" i="39"/>
  <c r="Q144" i="39" s="1"/>
  <c r="H144" i="39"/>
  <c r="H146" i="39" s="1"/>
  <c r="G144" i="39"/>
  <c r="G146" i="39" s="1"/>
  <c r="F142" i="39"/>
  <c r="D142" i="39"/>
  <c r="P141" i="39"/>
  <c r="Q141" i="39" s="1"/>
  <c r="H141" i="39"/>
  <c r="G141" i="39"/>
  <c r="P140" i="39"/>
  <c r="Q140" i="39" s="1"/>
  <c r="H140" i="39"/>
  <c r="G140" i="39"/>
  <c r="P139" i="39"/>
  <c r="Q139" i="39" s="1"/>
  <c r="H139" i="39"/>
  <c r="G139" i="39"/>
  <c r="P138" i="39"/>
  <c r="Q138" i="39" s="1"/>
  <c r="G138" i="39"/>
  <c r="E138" i="39"/>
  <c r="H138" i="39" s="1"/>
  <c r="P137" i="39"/>
  <c r="Q137" i="39" s="1"/>
  <c r="G137" i="39"/>
  <c r="E137" i="39"/>
  <c r="H137" i="39" s="1"/>
  <c r="P136" i="39"/>
  <c r="Q136" i="39" s="1"/>
  <c r="H136" i="39"/>
  <c r="G136" i="39"/>
  <c r="P135" i="39"/>
  <c r="Q135" i="39" s="1"/>
  <c r="H135" i="39"/>
  <c r="G135" i="39"/>
  <c r="P134" i="39"/>
  <c r="Q134" i="39" s="1"/>
  <c r="H134" i="39"/>
  <c r="G134" i="39"/>
  <c r="P133" i="39"/>
  <c r="Q133" i="39" s="1"/>
  <c r="H133" i="39"/>
  <c r="G133" i="39"/>
  <c r="P132" i="39"/>
  <c r="Q132" i="39" s="1"/>
  <c r="H132" i="39"/>
  <c r="G132" i="39"/>
  <c r="P131" i="39"/>
  <c r="Q131" i="39" s="1"/>
  <c r="H131" i="39"/>
  <c r="G131" i="39"/>
  <c r="P130" i="39"/>
  <c r="Q130" i="39" s="1"/>
  <c r="G130" i="39"/>
  <c r="E130" i="39"/>
  <c r="H130" i="39" s="1"/>
  <c r="P129" i="39"/>
  <c r="Q129" i="39" s="1"/>
  <c r="G129" i="39"/>
  <c r="E129" i="39"/>
  <c r="H129" i="39" s="1"/>
  <c r="P128" i="39"/>
  <c r="Q128" i="39" s="1"/>
  <c r="G128" i="39"/>
  <c r="E128" i="39"/>
  <c r="H128" i="39" s="1"/>
  <c r="P127" i="39"/>
  <c r="Q127" i="39" s="1"/>
  <c r="G127" i="39"/>
  <c r="E127" i="39"/>
  <c r="H127" i="39" s="1"/>
  <c r="Q126" i="39"/>
  <c r="P126" i="39"/>
  <c r="H126" i="39"/>
  <c r="H142" i="39" s="1"/>
  <c r="G126" i="39"/>
  <c r="G142" i="39" s="1"/>
  <c r="E126" i="39"/>
  <c r="F124" i="39"/>
  <c r="P124" i="39" s="1"/>
  <c r="Q124" i="39" s="1"/>
  <c r="E124" i="39"/>
  <c r="D124" i="39"/>
  <c r="P123" i="39"/>
  <c r="Q123" i="39" s="1"/>
  <c r="H123" i="39"/>
  <c r="G123" i="39"/>
  <c r="P122" i="39"/>
  <c r="Q122" i="39" s="1"/>
  <c r="H122" i="39"/>
  <c r="G122" i="39"/>
  <c r="P121" i="39"/>
  <c r="Q121" i="39" s="1"/>
  <c r="H121" i="39"/>
  <c r="G121" i="39"/>
  <c r="P120" i="39"/>
  <c r="Q120" i="39" s="1"/>
  <c r="H120" i="39"/>
  <c r="G120" i="39"/>
  <c r="P119" i="39"/>
  <c r="Q119" i="39" s="1"/>
  <c r="H119" i="39"/>
  <c r="H124" i="39" s="1"/>
  <c r="G119" i="39"/>
  <c r="G124" i="39" s="1"/>
  <c r="F115" i="39"/>
  <c r="P115" i="39" s="1"/>
  <c r="Q115" i="39" s="1"/>
  <c r="E115" i="39"/>
  <c r="D115" i="39"/>
  <c r="P114" i="39"/>
  <c r="Q114" i="39" s="1"/>
  <c r="H114" i="39"/>
  <c r="G114" i="39"/>
  <c r="P113" i="39"/>
  <c r="Q113" i="39" s="1"/>
  <c r="H113" i="39"/>
  <c r="H115" i="39" s="1"/>
  <c r="G113" i="39"/>
  <c r="G115" i="39" s="1"/>
  <c r="F111" i="39"/>
  <c r="P111" i="39" s="1"/>
  <c r="Q111" i="39" s="1"/>
  <c r="D111" i="39"/>
  <c r="P110" i="39"/>
  <c r="Q110" i="39" s="1"/>
  <c r="H110" i="39"/>
  <c r="G110" i="39"/>
  <c r="E109" i="39"/>
  <c r="P108" i="39"/>
  <c r="Q108" i="39" s="1"/>
  <c r="G108" i="39"/>
  <c r="E108" i="39"/>
  <c r="H108" i="39" s="1"/>
  <c r="P107" i="39"/>
  <c r="Q107" i="39" s="1"/>
  <c r="H107" i="39"/>
  <c r="G107" i="39"/>
  <c r="P106" i="39"/>
  <c r="Q106" i="39" s="1"/>
  <c r="G106" i="39"/>
  <c r="E106" i="39"/>
  <c r="H106" i="39" s="1"/>
  <c r="F104" i="39"/>
  <c r="P104" i="39" s="1"/>
  <c r="Q104" i="39" s="1"/>
  <c r="E104" i="39"/>
  <c r="D104" i="39"/>
  <c r="P103" i="39"/>
  <c r="Q103" i="39" s="1"/>
  <c r="H103" i="39"/>
  <c r="H104" i="39" s="1"/>
  <c r="G103" i="39"/>
  <c r="G104" i="39" s="1"/>
  <c r="F101" i="39"/>
  <c r="P101" i="39" s="1"/>
  <c r="Q101" i="39" s="1"/>
  <c r="D101" i="39"/>
  <c r="P100" i="39"/>
  <c r="Q100" i="39" s="1"/>
  <c r="H100" i="39"/>
  <c r="G100" i="39"/>
  <c r="P99" i="39"/>
  <c r="Q99" i="39" s="1"/>
  <c r="G99" i="39"/>
  <c r="G101" i="39" s="1"/>
  <c r="E99" i="39"/>
  <c r="H99" i="39" s="1"/>
  <c r="H101" i="39" s="1"/>
  <c r="F97" i="39"/>
  <c r="P97" i="39" s="1"/>
  <c r="Q97" i="39" s="1"/>
  <c r="D97" i="39"/>
  <c r="H96" i="39"/>
  <c r="G96" i="39"/>
  <c r="H95" i="39"/>
  <c r="G95" i="39"/>
  <c r="P94" i="39"/>
  <c r="Q94" i="39" s="1"/>
  <c r="H94" i="39"/>
  <c r="G94" i="39"/>
  <c r="P93" i="39"/>
  <c r="Q93" i="39" s="1"/>
  <c r="H93" i="39"/>
  <c r="G93" i="39"/>
  <c r="P92" i="39"/>
  <c r="Q92" i="39" s="1"/>
  <c r="H92" i="39"/>
  <c r="G92" i="39"/>
  <c r="G91" i="39"/>
  <c r="E91" i="39"/>
  <c r="H91" i="39" s="1"/>
  <c r="P90" i="39"/>
  <c r="Q90" i="39" s="1"/>
  <c r="H90" i="39"/>
  <c r="G90" i="39"/>
  <c r="P89" i="39"/>
  <c r="Q89" i="39" s="1"/>
  <c r="G89" i="39"/>
  <c r="E89" i="39"/>
  <c r="H89" i="39" s="1"/>
  <c r="P88" i="39"/>
  <c r="Q88" i="39" s="1"/>
  <c r="H88" i="39"/>
  <c r="G88" i="39"/>
  <c r="P87" i="39"/>
  <c r="Q87" i="39" s="1"/>
  <c r="G87" i="39"/>
  <c r="E87" i="39"/>
  <c r="H87" i="39" s="1"/>
  <c r="P86" i="39"/>
  <c r="Q86" i="39" s="1"/>
  <c r="G86" i="39"/>
  <c r="E86" i="39"/>
  <c r="H86" i="39" s="1"/>
  <c r="H85" i="39"/>
  <c r="G85" i="39"/>
  <c r="P84" i="39"/>
  <c r="Q84" i="39" s="1"/>
  <c r="G84" i="39"/>
  <c r="E84" i="39"/>
  <c r="H84" i="39" s="1"/>
  <c r="P83" i="39"/>
  <c r="Q83" i="39" s="1"/>
  <c r="H83" i="39"/>
  <c r="G83" i="39"/>
  <c r="P82" i="39"/>
  <c r="Q82" i="39" s="1"/>
  <c r="G82" i="39"/>
  <c r="E82" i="39"/>
  <c r="H82" i="39" s="1"/>
  <c r="P81" i="39"/>
  <c r="Q81" i="39" s="1"/>
  <c r="G81" i="39"/>
  <c r="E81" i="39"/>
  <c r="H81" i="39" s="1"/>
  <c r="P80" i="39"/>
  <c r="Q80" i="39" s="1"/>
  <c r="G80" i="39"/>
  <c r="E80" i="39"/>
  <c r="H80" i="39" s="1"/>
  <c r="P79" i="39"/>
  <c r="Q79" i="39" s="1"/>
  <c r="G79" i="39"/>
  <c r="E79" i="39"/>
  <c r="H79" i="39" s="1"/>
  <c r="P78" i="39"/>
  <c r="Q78" i="39" s="1"/>
  <c r="G78" i="39"/>
  <c r="E78" i="39"/>
  <c r="H78" i="39" s="1"/>
  <c r="H77" i="39"/>
  <c r="G77" i="39"/>
  <c r="P76" i="39"/>
  <c r="Q76" i="39" s="1"/>
  <c r="H76" i="39"/>
  <c r="G76" i="39"/>
  <c r="P75" i="39"/>
  <c r="Q75" i="39" s="1"/>
  <c r="H75" i="39"/>
  <c r="G75" i="39"/>
  <c r="P74" i="39"/>
  <c r="Q74" i="39" s="1"/>
  <c r="G74" i="39"/>
  <c r="E74" i="39"/>
  <c r="H74" i="39" s="1"/>
  <c r="H73" i="39"/>
  <c r="G73" i="39"/>
  <c r="P72" i="39"/>
  <c r="Q72" i="39" s="1"/>
  <c r="G72" i="39"/>
  <c r="E72" i="39"/>
  <c r="H72" i="39" s="1"/>
  <c r="P71" i="39"/>
  <c r="Q71" i="39" s="1"/>
  <c r="G71" i="39"/>
  <c r="E71" i="39"/>
  <c r="H71" i="39" s="1"/>
  <c r="P70" i="39"/>
  <c r="Q70" i="39" s="1"/>
  <c r="G70" i="39"/>
  <c r="E70" i="39"/>
  <c r="H70" i="39" s="1"/>
  <c r="P69" i="39"/>
  <c r="Q69" i="39" s="1"/>
  <c r="G69" i="39"/>
  <c r="G97" i="39" s="1"/>
  <c r="E69" i="39"/>
  <c r="H69" i="39" s="1"/>
  <c r="H97" i="39" s="1"/>
  <c r="F67" i="39"/>
  <c r="P67" i="39" s="1"/>
  <c r="Q67" i="39" s="1"/>
  <c r="D67" i="39"/>
  <c r="P66" i="39"/>
  <c r="Q66" i="39" s="1"/>
  <c r="G66" i="39"/>
  <c r="E66" i="39"/>
  <c r="H66" i="39" s="1"/>
  <c r="P65" i="39"/>
  <c r="Q65" i="39" s="1"/>
  <c r="H65" i="39"/>
  <c r="G65" i="39"/>
  <c r="P64" i="39"/>
  <c r="Q64" i="39" s="1"/>
  <c r="G64" i="39"/>
  <c r="E64" i="39"/>
  <c r="H64" i="39" s="1"/>
  <c r="P63" i="39"/>
  <c r="Q63" i="39" s="1"/>
  <c r="G63" i="39"/>
  <c r="G67" i="39" s="1"/>
  <c r="E63" i="39"/>
  <c r="H63" i="39" s="1"/>
  <c r="H67" i="39" s="1"/>
  <c r="F61" i="39"/>
  <c r="P61" i="39" s="1"/>
  <c r="Q61" i="39" s="1"/>
  <c r="D61" i="39"/>
  <c r="P60" i="39"/>
  <c r="Q60" i="39" s="1"/>
  <c r="H60" i="39"/>
  <c r="G60" i="39"/>
  <c r="P59" i="39"/>
  <c r="Q59" i="39" s="1"/>
  <c r="G59" i="39"/>
  <c r="E59" i="39"/>
  <c r="H59" i="39" s="1"/>
  <c r="P58" i="39"/>
  <c r="Q58" i="39" s="1"/>
  <c r="H58" i="39"/>
  <c r="G58" i="39"/>
  <c r="Q57" i="39"/>
  <c r="P57" i="39"/>
  <c r="G57" i="39"/>
  <c r="E57" i="39"/>
  <c r="H57" i="39" s="1"/>
  <c r="P56" i="39"/>
  <c r="Q56" i="39" s="1"/>
  <c r="H56" i="39"/>
  <c r="G56" i="39"/>
  <c r="Q55" i="39"/>
  <c r="P55" i="39"/>
  <c r="G55" i="39"/>
  <c r="E55" i="39"/>
  <c r="H55" i="39" s="1"/>
  <c r="P54" i="39"/>
  <c r="Q54" i="39" s="1"/>
  <c r="G54" i="39"/>
  <c r="E54" i="39"/>
  <c r="H54" i="39" s="1"/>
  <c r="P53" i="39"/>
  <c r="Q53" i="39" s="1"/>
  <c r="G53" i="39"/>
  <c r="E53" i="39"/>
  <c r="H53" i="39" s="1"/>
  <c r="H52" i="39"/>
  <c r="G52" i="39"/>
  <c r="P51" i="39"/>
  <c r="Q51" i="39" s="1"/>
  <c r="G51" i="39"/>
  <c r="G61" i="39" s="1"/>
  <c r="E51" i="39"/>
  <c r="F49" i="39"/>
  <c r="P49" i="39" s="1"/>
  <c r="Q49" i="39" s="1"/>
  <c r="D49" i="39"/>
  <c r="P48" i="39"/>
  <c r="Q48" i="39" s="1"/>
  <c r="G48" i="39"/>
  <c r="E48" i="39"/>
  <c r="E49" i="39" s="1"/>
  <c r="P47" i="39"/>
  <c r="Q47" i="39" s="1"/>
  <c r="H47" i="39"/>
  <c r="G47" i="39"/>
  <c r="P46" i="39"/>
  <c r="Q46" i="39" s="1"/>
  <c r="H46" i="39"/>
  <c r="G46" i="39"/>
  <c r="P45" i="39"/>
  <c r="Q45" i="39" s="1"/>
  <c r="H45" i="39"/>
  <c r="H49" i="39" s="1"/>
  <c r="G45" i="39"/>
  <c r="G49" i="39" s="1"/>
  <c r="E44" i="39"/>
  <c r="F41" i="39"/>
  <c r="P41" i="39" s="1"/>
  <c r="Q41" i="39" s="1"/>
  <c r="D41" i="39"/>
  <c r="P40" i="39"/>
  <c r="Q40" i="39" s="1"/>
  <c r="G40" i="39"/>
  <c r="E40" i="39"/>
  <c r="H40" i="39" s="1"/>
  <c r="P39" i="39"/>
  <c r="Q39" i="39" s="1"/>
  <c r="H39" i="39"/>
  <c r="H41" i="39" s="1"/>
  <c r="G39" i="39"/>
  <c r="G41" i="39" s="1"/>
  <c r="F37" i="39"/>
  <c r="P37" i="39" s="1"/>
  <c r="Q37" i="39" s="1"/>
  <c r="E37" i="39"/>
  <c r="D37" i="39"/>
  <c r="P36" i="39"/>
  <c r="Q36" i="39" s="1"/>
  <c r="H36" i="39"/>
  <c r="G36" i="39"/>
  <c r="P35" i="39"/>
  <c r="Q35" i="39" s="1"/>
  <c r="H35" i="39"/>
  <c r="H37" i="39" s="1"/>
  <c r="G35" i="39"/>
  <c r="G37" i="39" s="1"/>
  <c r="F33" i="39"/>
  <c r="P33" i="39" s="1"/>
  <c r="Q33" i="39" s="1"/>
  <c r="D33" i="39"/>
  <c r="P32" i="39"/>
  <c r="Q32" i="39" s="1"/>
  <c r="G32" i="39"/>
  <c r="G33" i="39" s="1"/>
  <c r="E32" i="39"/>
  <c r="E33" i="39" s="1"/>
  <c r="F30" i="39"/>
  <c r="P30" i="39" s="1"/>
  <c r="Q30" i="39" s="1"/>
  <c r="D30" i="39"/>
  <c r="P29" i="39"/>
  <c r="Q29" i="39" s="1"/>
  <c r="G29" i="39"/>
  <c r="E29" i="39"/>
  <c r="H29" i="39" s="1"/>
  <c r="P28" i="39"/>
  <c r="Q28" i="39" s="1"/>
  <c r="G28" i="39"/>
  <c r="E28" i="39"/>
  <c r="H28" i="39" s="1"/>
  <c r="G27" i="39"/>
  <c r="E27" i="39"/>
  <c r="H27" i="39" s="1"/>
  <c r="G26" i="39"/>
  <c r="E26" i="39"/>
  <c r="H26" i="39" s="1"/>
  <c r="P25" i="39"/>
  <c r="Q25" i="39" s="1"/>
  <c r="G25" i="39"/>
  <c r="E25" i="39"/>
  <c r="H25" i="39" s="1"/>
  <c r="P24" i="39"/>
  <c r="Q24" i="39" s="1"/>
  <c r="G24" i="39"/>
  <c r="E24" i="39"/>
  <c r="H24" i="39" s="1"/>
  <c r="P23" i="39"/>
  <c r="Q23" i="39" s="1"/>
  <c r="G23" i="39"/>
  <c r="G30" i="39" s="1"/>
  <c r="E23" i="39"/>
  <c r="F21" i="39"/>
  <c r="P21" i="39" s="1"/>
  <c r="Q21" i="39" s="1"/>
  <c r="D21" i="39"/>
  <c r="P20" i="39"/>
  <c r="Q20" i="39" s="1"/>
  <c r="H20" i="39"/>
  <c r="G20" i="39"/>
  <c r="E20" i="39"/>
  <c r="E21" i="39" s="1"/>
  <c r="P19" i="39"/>
  <c r="Q19" i="39" s="1"/>
  <c r="H19" i="39"/>
  <c r="H21" i="39" s="1"/>
  <c r="G19" i="39"/>
  <c r="G21" i="39" s="1"/>
  <c r="F17" i="39"/>
  <c r="P17" i="39" s="1"/>
  <c r="Q17" i="39" s="1"/>
  <c r="D17" i="39"/>
  <c r="P16" i="39"/>
  <c r="Q16" i="39" s="1"/>
  <c r="G16" i="39"/>
  <c r="E16" i="39"/>
  <c r="H16" i="39" s="1"/>
  <c r="P15" i="39"/>
  <c r="Q15" i="39" s="1"/>
  <c r="G15" i="39"/>
  <c r="G17" i="39" s="1"/>
  <c r="E15" i="39"/>
  <c r="F13" i="39"/>
  <c r="P13" i="39" s="1"/>
  <c r="Q13" i="39" s="1"/>
  <c r="E13" i="39"/>
  <c r="D13" i="39"/>
  <c r="P12" i="39"/>
  <c r="Q12" i="39" s="1"/>
  <c r="H12" i="39"/>
  <c r="G12" i="39"/>
  <c r="P11" i="39"/>
  <c r="Q11" i="39" s="1"/>
  <c r="H11" i="39"/>
  <c r="G11" i="39"/>
  <c r="P10" i="39"/>
  <c r="Q10" i="39" s="1"/>
  <c r="H10" i="39"/>
  <c r="H13" i="39" s="1"/>
  <c r="G10" i="39"/>
  <c r="G13" i="39" s="1"/>
  <c r="G5" i="39"/>
  <c r="E5" i="39"/>
  <c r="H5" i="39" s="1"/>
  <c r="C6" i="35"/>
  <c r="D12" i="35" s="1"/>
  <c r="D5" i="35"/>
  <c r="D4" i="35"/>
  <c r="B4" i="35"/>
  <c r="B6" i="35" s="1"/>
  <c r="D8" i="35" s="1"/>
  <c r="P402" i="33"/>
  <c r="Q402" i="33" s="1"/>
  <c r="G402" i="33"/>
  <c r="E402" i="33"/>
  <c r="H402" i="33" s="1"/>
  <c r="E398" i="33"/>
  <c r="F395" i="33"/>
  <c r="E395" i="33"/>
  <c r="D395" i="33"/>
  <c r="H394" i="33"/>
  <c r="H395" i="33" s="1"/>
  <c r="G394" i="33"/>
  <c r="G395" i="33" s="1"/>
  <c r="F392" i="33"/>
  <c r="E392" i="33"/>
  <c r="D392" i="33"/>
  <c r="P391" i="33"/>
  <c r="Q391" i="33" s="1"/>
  <c r="H391" i="33"/>
  <c r="G391" i="33"/>
  <c r="P390" i="33"/>
  <c r="Q390" i="33" s="1"/>
  <c r="H390" i="33"/>
  <c r="H392" i="33" s="1"/>
  <c r="G390" i="33"/>
  <c r="G392" i="33" s="1"/>
  <c r="F388" i="33"/>
  <c r="P388" i="33" s="1"/>
  <c r="Q388" i="33" s="1"/>
  <c r="D388" i="33"/>
  <c r="P387" i="33"/>
  <c r="Q387" i="33" s="1"/>
  <c r="G387" i="33"/>
  <c r="E387" i="33"/>
  <c r="H387" i="33" s="1"/>
  <c r="P386" i="33"/>
  <c r="Q386" i="33" s="1"/>
  <c r="G386" i="33"/>
  <c r="E386" i="33"/>
  <c r="P385" i="33"/>
  <c r="Q385" i="33" s="1"/>
  <c r="H385" i="33"/>
  <c r="G385" i="33"/>
  <c r="P384" i="33"/>
  <c r="Q384" i="33" s="1"/>
  <c r="H384" i="33"/>
  <c r="H388" i="33" s="1"/>
  <c r="G384" i="33"/>
  <c r="G388" i="33" s="1"/>
  <c r="E383" i="33"/>
  <c r="F380" i="33"/>
  <c r="P380" i="33" s="1"/>
  <c r="Q380" i="33" s="1"/>
  <c r="E380" i="33"/>
  <c r="D380" i="33"/>
  <c r="P379" i="33"/>
  <c r="Q379" i="33" s="1"/>
  <c r="H379" i="33"/>
  <c r="G379" i="33"/>
  <c r="P378" i="33"/>
  <c r="Q378" i="33" s="1"/>
  <c r="H378" i="33"/>
  <c r="H380" i="33" s="1"/>
  <c r="G378" i="33"/>
  <c r="G380" i="33" s="1"/>
  <c r="F376" i="33"/>
  <c r="P376" i="33" s="1"/>
  <c r="Q376" i="33" s="1"/>
  <c r="D376" i="33"/>
  <c r="P374" i="33"/>
  <c r="Q374" i="33" s="1"/>
  <c r="G374" i="33"/>
  <c r="E374" i="33"/>
  <c r="H374" i="33" s="1"/>
  <c r="P373" i="33"/>
  <c r="Q373" i="33" s="1"/>
  <c r="G373" i="33"/>
  <c r="G376" i="33" s="1"/>
  <c r="E373" i="33"/>
  <c r="E372" i="33"/>
  <c r="F369" i="33"/>
  <c r="P369" i="33" s="1"/>
  <c r="Q369" i="33" s="1"/>
  <c r="E369" i="33"/>
  <c r="D369" i="33"/>
  <c r="P368" i="33"/>
  <c r="Q368" i="33" s="1"/>
  <c r="H368" i="33"/>
  <c r="G368" i="33"/>
  <c r="P367" i="33"/>
  <c r="Q367" i="33" s="1"/>
  <c r="H367" i="33"/>
  <c r="H369" i="33" s="1"/>
  <c r="G367" i="33"/>
  <c r="G369" i="33" s="1"/>
  <c r="F365" i="33"/>
  <c r="P365" i="33" s="1"/>
  <c r="Q365" i="33" s="1"/>
  <c r="D365" i="33"/>
  <c r="P364" i="33"/>
  <c r="Q364" i="33" s="1"/>
  <c r="G364" i="33"/>
  <c r="G365" i="33" s="1"/>
  <c r="E364" i="33"/>
  <c r="H364" i="33" s="1"/>
  <c r="H365" i="33" s="1"/>
  <c r="F362" i="33"/>
  <c r="P362" i="33" s="1"/>
  <c r="Q362" i="33" s="1"/>
  <c r="E362" i="33"/>
  <c r="D362" i="33"/>
  <c r="P361" i="33"/>
  <c r="Q361" i="33" s="1"/>
  <c r="H361" i="33"/>
  <c r="H362" i="33" s="1"/>
  <c r="G361" i="33"/>
  <c r="G362" i="33" s="1"/>
  <c r="F359" i="33"/>
  <c r="P359" i="33" s="1"/>
  <c r="Q359" i="33" s="1"/>
  <c r="D359" i="33"/>
  <c r="P358" i="33"/>
  <c r="Q358" i="33" s="1"/>
  <c r="G358" i="33"/>
  <c r="E358" i="33"/>
  <c r="H358" i="33" s="1"/>
  <c r="G357" i="33"/>
  <c r="E357" i="33"/>
  <c r="H357" i="33" s="1"/>
  <c r="G356" i="33"/>
  <c r="E356" i="33"/>
  <c r="H356" i="33" s="1"/>
  <c r="P355" i="33"/>
  <c r="Q355" i="33" s="1"/>
  <c r="G355" i="33"/>
  <c r="E355" i="33"/>
  <c r="H355" i="33" s="1"/>
  <c r="P354" i="33"/>
  <c r="Q354" i="33" s="1"/>
  <c r="G354" i="33"/>
  <c r="E354" i="33"/>
  <c r="H354" i="33" s="1"/>
  <c r="P353" i="33"/>
  <c r="Q353" i="33" s="1"/>
  <c r="G353" i="33"/>
  <c r="E353" i="33"/>
  <c r="H353" i="33" s="1"/>
  <c r="G352" i="33"/>
  <c r="E352" i="33"/>
  <c r="H352" i="33" s="1"/>
  <c r="P351" i="33"/>
  <c r="Q351" i="33" s="1"/>
  <c r="H351" i="33"/>
  <c r="G351" i="33"/>
  <c r="P350" i="33"/>
  <c r="Q350" i="33" s="1"/>
  <c r="G350" i="33"/>
  <c r="E350" i="33"/>
  <c r="H350" i="33" s="1"/>
  <c r="P349" i="33"/>
  <c r="Q349" i="33" s="1"/>
  <c r="G349" i="33"/>
  <c r="E349" i="33"/>
  <c r="H349" i="33" s="1"/>
  <c r="P348" i="33"/>
  <c r="Q348" i="33" s="1"/>
  <c r="G348" i="33"/>
  <c r="E348" i="33"/>
  <c r="H348" i="33" s="1"/>
  <c r="P347" i="33"/>
  <c r="Q347" i="33" s="1"/>
  <c r="G347" i="33"/>
  <c r="E347" i="33"/>
  <c r="H347" i="33" s="1"/>
  <c r="P346" i="33"/>
  <c r="Q346" i="33" s="1"/>
  <c r="G346" i="33"/>
  <c r="E346" i="33"/>
  <c r="H346" i="33" s="1"/>
  <c r="P345" i="33"/>
  <c r="Q345" i="33" s="1"/>
  <c r="G345" i="33"/>
  <c r="E345" i="33"/>
  <c r="H345" i="33" s="1"/>
  <c r="P344" i="33"/>
  <c r="Q344" i="33" s="1"/>
  <c r="H344" i="33"/>
  <c r="G344" i="33"/>
  <c r="P343" i="33"/>
  <c r="Q343" i="33" s="1"/>
  <c r="G343" i="33"/>
  <c r="G359" i="33" s="1"/>
  <c r="E343" i="33"/>
  <c r="H343" i="33" s="1"/>
  <c r="H359" i="33" s="1"/>
  <c r="F341" i="33"/>
  <c r="P341" i="33" s="1"/>
  <c r="Q341" i="33" s="1"/>
  <c r="D341" i="33"/>
  <c r="P340" i="33"/>
  <c r="Q340" i="33" s="1"/>
  <c r="G340" i="33"/>
  <c r="E340" i="33"/>
  <c r="H340" i="33" s="1"/>
  <c r="P339" i="33"/>
  <c r="Q339" i="33" s="1"/>
  <c r="G339" i="33"/>
  <c r="E339" i="33"/>
  <c r="H339" i="33" s="1"/>
  <c r="P338" i="33"/>
  <c r="Q338" i="33" s="1"/>
  <c r="G338" i="33"/>
  <c r="E338" i="33"/>
  <c r="H338" i="33" s="1"/>
  <c r="P337" i="33"/>
  <c r="Q337" i="33" s="1"/>
  <c r="G337" i="33"/>
  <c r="E337" i="33"/>
  <c r="H337" i="33" s="1"/>
  <c r="P336" i="33"/>
  <c r="Q336" i="33" s="1"/>
  <c r="G336" i="33"/>
  <c r="E336" i="33"/>
  <c r="H336" i="33" s="1"/>
  <c r="P335" i="33"/>
  <c r="Q335" i="33" s="1"/>
  <c r="G335" i="33"/>
  <c r="G341" i="33" s="1"/>
  <c r="E335" i="33"/>
  <c r="H335" i="33" s="1"/>
  <c r="H341" i="33" s="1"/>
  <c r="F333" i="33"/>
  <c r="P333" i="33" s="1"/>
  <c r="Q333" i="33" s="1"/>
  <c r="D333" i="33"/>
  <c r="P332" i="33"/>
  <c r="Q332" i="33" s="1"/>
  <c r="G332" i="33"/>
  <c r="G333" i="33" s="1"/>
  <c r="E332" i="33"/>
  <c r="H332" i="33" s="1"/>
  <c r="H333" i="33" s="1"/>
  <c r="F330" i="33"/>
  <c r="P330" i="33" s="1"/>
  <c r="Q330" i="33" s="1"/>
  <c r="D330" i="33"/>
  <c r="P329" i="33"/>
  <c r="Q329" i="33" s="1"/>
  <c r="G329" i="33"/>
  <c r="E329" i="33"/>
  <c r="H329" i="33" s="1"/>
  <c r="P328" i="33"/>
  <c r="Q328" i="33" s="1"/>
  <c r="H328" i="33"/>
  <c r="G328" i="33"/>
  <c r="P327" i="33"/>
  <c r="Q327" i="33" s="1"/>
  <c r="H327" i="33"/>
  <c r="G327" i="33"/>
  <c r="P326" i="33"/>
  <c r="Q326" i="33" s="1"/>
  <c r="G326" i="33"/>
  <c r="G330" i="33" s="1"/>
  <c r="E326" i="33"/>
  <c r="E325" i="33"/>
  <c r="F322" i="33"/>
  <c r="P322" i="33" s="1"/>
  <c r="Q322" i="33" s="1"/>
  <c r="E322" i="33"/>
  <c r="D322" i="33"/>
  <c r="P321" i="33"/>
  <c r="Q321" i="33" s="1"/>
  <c r="H321" i="33"/>
  <c r="G321" i="33"/>
  <c r="P320" i="33"/>
  <c r="Q320" i="33" s="1"/>
  <c r="H320" i="33"/>
  <c r="H322" i="33" s="1"/>
  <c r="G320" i="33"/>
  <c r="G322" i="33" s="1"/>
  <c r="F318" i="33"/>
  <c r="P318" i="33" s="1"/>
  <c r="Q318" i="33" s="1"/>
  <c r="D318" i="33"/>
  <c r="H317" i="33"/>
  <c r="G317" i="33"/>
  <c r="P316" i="33"/>
  <c r="Q316" i="33" s="1"/>
  <c r="G316" i="33"/>
  <c r="E316" i="33"/>
  <c r="H316" i="33" s="1"/>
  <c r="P315" i="33"/>
  <c r="Q315" i="33" s="1"/>
  <c r="G315" i="33"/>
  <c r="E315" i="33"/>
  <c r="P314" i="33"/>
  <c r="Q314" i="33" s="1"/>
  <c r="H314" i="33"/>
  <c r="G314" i="33"/>
  <c r="F312" i="33"/>
  <c r="D312" i="33"/>
  <c r="P311" i="33"/>
  <c r="Q311" i="33" s="1"/>
  <c r="H311" i="33"/>
  <c r="G311" i="33"/>
  <c r="P310" i="33"/>
  <c r="Q310" i="33" s="1"/>
  <c r="H310" i="33"/>
  <c r="H318" i="33" s="1"/>
  <c r="G310" i="33"/>
  <c r="G318" i="33" s="1"/>
  <c r="G309" i="33"/>
  <c r="E309" i="33"/>
  <c r="H309" i="33" s="1"/>
  <c r="P308" i="33"/>
  <c r="Q308" i="33" s="1"/>
  <c r="G308" i="33"/>
  <c r="E308" i="33"/>
  <c r="H308" i="33" s="1"/>
  <c r="P307" i="33"/>
  <c r="Q307" i="33" s="1"/>
  <c r="G307" i="33"/>
  <c r="E307" i="33"/>
  <c r="H307" i="33" s="1"/>
  <c r="P306" i="33"/>
  <c r="Q306" i="33" s="1"/>
  <c r="G306" i="33"/>
  <c r="E306" i="33"/>
  <c r="H306" i="33" s="1"/>
  <c r="P305" i="33"/>
  <c r="Q305" i="33" s="1"/>
  <c r="H305" i="33"/>
  <c r="G305" i="33"/>
  <c r="H303" i="33"/>
  <c r="G303" i="33"/>
  <c r="P302" i="33"/>
  <c r="Q302" i="33" s="1"/>
  <c r="H302" i="33"/>
  <c r="G302" i="33"/>
  <c r="P301" i="33"/>
  <c r="Q301" i="33" s="1"/>
  <c r="H301" i="33"/>
  <c r="G301" i="33"/>
  <c r="P300" i="33"/>
  <c r="Q300" i="33" s="1"/>
  <c r="H300" i="33"/>
  <c r="G300" i="33"/>
  <c r="P299" i="33"/>
  <c r="Q299" i="33" s="1"/>
  <c r="H299" i="33"/>
  <c r="G299" i="33"/>
  <c r="P298" i="33"/>
  <c r="Q298" i="33" s="1"/>
  <c r="H298" i="33"/>
  <c r="G298" i="33"/>
  <c r="P297" i="33"/>
  <c r="Q297" i="33" s="1"/>
  <c r="H297" i="33"/>
  <c r="G297" i="33"/>
  <c r="P296" i="33"/>
  <c r="Q296" i="33" s="1"/>
  <c r="G296" i="33"/>
  <c r="E296" i="33"/>
  <c r="H296" i="33" s="1"/>
  <c r="P295" i="33"/>
  <c r="Q295" i="33" s="1"/>
  <c r="G295" i="33"/>
  <c r="E295" i="33"/>
  <c r="H295" i="33" s="1"/>
  <c r="G294" i="33"/>
  <c r="E294" i="33"/>
  <c r="H294" i="33" s="1"/>
  <c r="E293" i="33"/>
  <c r="P292" i="33"/>
  <c r="Q292" i="33" s="1"/>
  <c r="H292" i="33"/>
  <c r="G292" i="33"/>
  <c r="P291" i="33"/>
  <c r="Q291" i="33" s="1"/>
  <c r="G291" i="33"/>
  <c r="E291" i="33"/>
  <c r="H291" i="33" s="1"/>
  <c r="P290" i="33"/>
  <c r="Q290" i="33" s="1"/>
  <c r="G290" i="33"/>
  <c r="G312" i="33" s="1"/>
  <c r="E290" i="33"/>
  <c r="H290" i="33" s="1"/>
  <c r="H312" i="33" s="1"/>
  <c r="P288" i="33"/>
  <c r="Q288" i="33" s="1"/>
  <c r="F288" i="33"/>
  <c r="D288" i="33"/>
  <c r="P287" i="33"/>
  <c r="Q287" i="33" s="1"/>
  <c r="G287" i="33"/>
  <c r="G288" i="33" s="1"/>
  <c r="E287" i="33"/>
  <c r="E288" i="33" s="1"/>
  <c r="E286" i="33"/>
  <c r="F282" i="33"/>
  <c r="P282" i="33" s="1"/>
  <c r="Q282" i="33" s="1"/>
  <c r="E282" i="33"/>
  <c r="D282" i="33"/>
  <c r="P281" i="33"/>
  <c r="Q281" i="33" s="1"/>
  <c r="H281" i="33"/>
  <c r="G281" i="33"/>
  <c r="P280" i="33"/>
  <c r="Q280" i="33" s="1"/>
  <c r="H280" i="33"/>
  <c r="G280" i="33"/>
  <c r="F278" i="33"/>
  <c r="P278" i="33" s="1"/>
  <c r="Q278" i="33" s="1"/>
  <c r="D278" i="33"/>
  <c r="P277" i="33"/>
  <c r="Q277" i="33" s="1"/>
  <c r="G277" i="33"/>
  <c r="G278" i="33" s="1"/>
  <c r="E277" i="33"/>
  <c r="P274" i="33"/>
  <c r="Q274" i="33" s="1"/>
  <c r="F274" i="33"/>
  <c r="D274" i="33"/>
  <c r="P273" i="33"/>
  <c r="Q273" i="33" s="1"/>
  <c r="G273" i="33"/>
  <c r="E273" i="33"/>
  <c r="H273" i="33" s="1"/>
  <c r="P272" i="33"/>
  <c r="Q272" i="33" s="1"/>
  <c r="H272" i="33"/>
  <c r="G272" i="33"/>
  <c r="G271" i="33"/>
  <c r="E271" i="33"/>
  <c r="H271" i="33" s="1"/>
  <c r="P270" i="33"/>
  <c r="Q270" i="33" s="1"/>
  <c r="H270" i="33"/>
  <c r="H274" i="33" s="1"/>
  <c r="G270" i="33"/>
  <c r="G274" i="33" s="1"/>
  <c r="F268" i="33"/>
  <c r="P268" i="33" s="1"/>
  <c r="Q268" i="33" s="1"/>
  <c r="E268" i="33"/>
  <c r="D268" i="33"/>
  <c r="P267" i="33"/>
  <c r="Q267" i="33" s="1"/>
  <c r="H267" i="33"/>
  <c r="G267" i="33"/>
  <c r="P265" i="33"/>
  <c r="Q265" i="33" s="1"/>
  <c r="H265" i="33"/>
  <c r="G265" i="33"/>
  <c r="P264" i="33"/>
  <c r="Q264" i="33" s="1"/>
  <c r="H264" i="33"/>
  <c r="H268" i="33" s="1"/>
  <c r="G264" i="33"/>
  <c r="G268" i="33" s="1"/>
  <c r="F261" i="33"/>
  <c r="P261" i="33" s="1"/>
  <c r="Q261" i="33" s="1"/>
  <c r="E261" i="33"/>
  <c r="D261" i="33"/>
  <c r="P260" i="33"/>
  <c r="Q260" i="33" s="1"/>
  <c r="H260" i="33"/>
  <c r="G260" i="33"/>
  <c r="H259" i="33"/>
  <c r="H261" i="33" s="1"/>
  <c r="G259" i="33"/>
  <c r="G261" i="33" s="1"/>
  <c r="F257" i="33"/>
  <c r="P257" i="33" s="1"/>
  <c r="Q257" i="33" s="1"/>
  <c r="E257" i="33"/>
  <c r="D257" i="33"/>
  <c r="P256" i="33"/>
  <c r="Q256" i="33" s="1"/>
  <c r="H256" i="33"/>
  <c r="G256" i="33"/>
  <c r="P255" i="33"/>
  <c r="Q255" i="33" s="1"/>
  <c r="H255" i="33"/>
  <c r="H257" i="33" s="1"/>
  <c r="G255" i="33"/>
  <c r="G257" i="33" s="1"/>
  <c r="F253" i="33"/>
  <c r="P253" i="33" s="1"/>
  <c r="Q253" i="33" s="1"/>
  <c r="E253" i="33"/>
  <c r="D253" i="33"/>
  <c r="P252" i="33"/>
  <c r="Q252" i="33" s="1"/>
  <c r="H252" i="33"/>
  <c r="H253" i="33" s="1"/>
  <c r="G252" i="33"/>
  <c r="G253" i="33" s="1"/>
  <c r="F250" i="33"/>
  <c r="P250" i="33" s="1"/>
  <c r="Q250" i="33" s="1"/>
  <c r="E250" i="33"/>
  <c r="D250" i="33"/>
  <c r="H249" i="33"/>
  <c r="H250" i="33" s="1"/>
  <c r="G249" i="33"/>
  <c r="G250" i="33" s="1"/>
  <c r="F247" i="33"/>
  <c r="P247" i="33" s="1"/>
  <c r="Q247" i="33" s="1"/>
  <c r="D247" i="33"/>
  <c r="P246" i="33"/>
  <c r="Q246" i="33" s="1"/>
  <c r="H246" i="33"/>
  <c r="G246" i="33"/>
  <c r="P245" i="33"/>
  <c r="Q245" i="33" s="1"/>
  <c r="G245" i="33"/>
  <c r="E245" i="33"/>
  <c r="H245" i="33" s="1"/>
  <c r="P244" i="33"/>
  <c r="Q244" i="33" s="1"/>
  <c r="G244" i="33"/>
  <c r="E244" i="33"/>
  <c r="H244" i="33" s="1"/>
  <c r="P243" i="33"/>
  <c r="Q243" i="33" s="1"/>
  <c r="G243" i="33"/>
  <c r="G247" i="33" s="1"/>
  <c r="E243" i="33"/>
  <c r="H243" i="33" s="1"/>
  <c r="H247" i="33" s="1"/>
  <c r="F241" i="33"/>
  <c r="D241" i="33"/>
  <c r="P240" i="33"/>
  <c r="Q240" i="33" s="1"/>
  <c r="H240" i="33"/>
  <c r="G240" i="33"/>
  <c r="P239" i="33"/>
  <c r="Q239" i="33" s="1"/>
  <c r="H239" i="33"/>
  <c r="G239" i="33"/>
  <c r="P238" i="33"/>
  <c r="Q238" i="33" s="1"/>
  <c r="H238" i="33"/>
  <c r="G238" i="33"/>
  <c r="H237" i="33"/>
  <c r="G237" i="33"/>
  <c r="P236" i="33"/>
  <c r="Q236" i="33" s="1"/>
  <c r="G236" i="33"/>
  <c r="E236" i="33"/>
  <c r="H236" i="33" s="1"/>
  <c r="G235" i="33"/>
  <c r="E235" i="33"/>
  <c r="H235" i="33" s="1"/>
  <c r="P234" i="33"/>
  <c r="Q234" i="33" s="1"/>
  <c r="G234" i="33"/>
  <c r="E234" i="33"/>
  <c r="H234" i="33" s="1"/>
  <c r="P233" i="33"/>
  <c r="Q233" i="33" s="1"/>
  <c r="H233" i="33"/>
  <c r="G233" i="33"/>
  <c r="E233" i="33"/>
  <c r="E232" i="33"/>
  <c r="P231" i="33"/>
  <c r="Q231" i="33" s="1"/>
  <c r="G231" i="33"/>
  <c r="G241" i="33" s="1"/>
  <c r="E231" i="33"/>
  <c r="E230" i="33"/>
  <c r="F225" i="33"/>
  <c r="P225" i="33" s="1"/>
  <c r="Q225" i="33" s="1"/>
  <c r="D225" i="33"/>
  <c r="P224" i="33"/>
  <c r="Q224" i="33" s="1"/>
  <c r="G224" i="33"/>
  <c r="G225" i="33" s="1"/>
  <c r="E224" i="33"/>
  <c r="H224" i="33" s="1"/>
  <c r="H225" i="33" s="1"/>
  <c r="F222" i="33"/>
  <c r="P222" i="33" s="1"/>
  <c r="Q222" i="33" s="1"/>
  <c r="D222" i="33"/>
  <c r="P221" i="33"/>
  <c r="Q221" i="33" s="1"/>
  <c r="G221" i="33"/>
  <c r="G222" i="33" s="1"/>
  <c r="E221" i="33"/>
  <c r="F219" i="33"/>
  <c r="P219" i="33" s="1"/>
  <c r="Q219" i="33" s="1"/>
  <c r="D219" i="33"/>
  <c r="P218" i="33"/>
  <c r="Q218" i="33" s="1"/>
  <c r="G218" i="33"/>
  <c r="G219" i="33" s="1"/>
  <c r="E218" i="33"/>
  <c r="H218" i="33" s="1"/>
  <c r="H219" i="33" s="1"/>
  <c r="F216" i="33"/>
  <c r="D216" i="33"/>
  <c r="P215" i="33"/>
  <c r="Q215" i="33" s="1"/>
  <c r="G215" i="33"/>
  <c r="E215" i="33"/>
  <c r="Q214" i="33"/>
  <c r="P214" i="33"/>
  <c r="H214" i="33"/>
  <c r="G214" i="33"/>
  <c r="P213" i="33"/>
  <c r="Q213" i="33" s="1"/>
  <c r="H213" i="33"/>
  <c r="G213" i="33"/>
  <c r="P212" i="33"/>
  <c r="Q212" i="33" s="1"/>
  <c r="H212" i="33"/>
  <c r="G212" i="33"/>
  <c r="P211" i="33"/>
  <c r="Q211" i="33" s="1"/>
  <c r="H211" i="33"/>
  <c r="G211" i="33"/>
  <c r="P209" i="33"/>
  <c r="Q209" i="33" s="1"/>
  <c r="H209" i="33"/>
  <c r="H216" i="33" s="1"/>
  <c r="G209" i="33"/>
  <c r="G216" i="33" s="1"/>
  <c r="F203" i="33"/>
  <c r="E203" i="33"/>
  <c r="D203" i="33"/>
  <c r="P202" i="33"/>
  <c r="Q202" i="33" s="1"/>
  <c r="H202" i="33"/>
  <c r="G202" i="33"/>
  <c r="P201" i="33"/>
  <c r="Q201" i="33" s="1"/>
  <c r="H201" i="33"/>
  <c r="G201" i="33"/>
  <c r="P200" i="33"/>
  <c r="Q200" i="33" s="1"/>
  <c r="H200" i="33"/>
  <c r="G200" i="33"/>
  <c r="P199" i="33"/>
  <c r="Q199" i="33" s="1"/>
  <c r="H199" i="33"/>
  <c r="H203" i="33" s="1"/>
  <c r="G199" i="33"/>
  <c r="G203" i="33" s="1"/>
  <c r="F197" i="33"/>
  <c r="P197" i="33" s="1"/>
  <c r="Q197" i="33" s="1"/>
  <c r="E197" i="33"/>
  <c r="D197" i="33"/>
  <c r="P196" i="33"/>
  <c r="Q196" i="33" s="1"/>
  <c r="H196" i="33"/>
  <c r="G196" i="33"/>
  <c r="P195" i="33"/>
  <c r="Q195" i="33" s="1"/>
  <c r="H195" i="33"/>
  <c r="H197" i="33" s="1"/>
  <c r="G195" i="33"/>
  <c r="G197" i="33" s="1"/>
  <c r="F193" i="33"/>
  <c r="P193" i="33" s="1"/>
  <c r="Q193" i="33" s="1"/>
  <c r="D193" i="33"/>
  <c r="P192" i="33"/>
  <c r="Q192" i="33" s="1"/>
  <c r="G192" i="33"/>
  <c r="E192" i="33"/>
  <c r="H192" i="33" s="1"/>
  <c r="P191" i="33"/>
  <c r="Q191" i="33" s="1"/>
  <c r="G191" i="33"/>
  <c r="E191" i="33"/>
  <c r="E193" i="33" s="1"/>
  <c r="P190" i="33"/>
  <c r="Q190" i="33" s="1"/>
  <c r="H190" i="33"/>
  <c r="G190" i="33"/>
  <c r="P189" i="33"/>
  <c r="Q189" i="33" s="1"/>
  <c r="H189" i="33"/>
  <c r="H193" i="33" s="1"/>
  <c r="G189" i="33"/>
  <c r="G193" i="33" s="1"/>
  <c r="F187" i="33"/>
  <c r="P187" i="33" s="1"/>
  <c r="Q187" i="33" s="1"/>
  <c r="E187" i="33"/>
  <c r="D187" i="33"/>
  <c r="P186" i="33"/>
  <c r="Q186" i="33" s="1"/>
  <c r="H186" i="33"/>
  <c r="H187" i="33" s="1"/>
  <c r="G186" i="33"/>
  <c r="G187" i="33" s="1"/>
  <c r="F184" i="33"/>
  <c r="P184" i="33" s="1"/>
  <c r="Q184" i="33" s="1"/>
  <c r="D184" i="33"/>
  <c r="P183" i="33"/>
  <c r="Q183" i="33" s="1"/>
  <c r="G183" i="33"/>
  <c r="E183" i="33"/>
  <c r="H183" i="33" s="1"/>
  <c r="P182" i="33"/>
  <c r="Q182" i="33" s="1"/>
  <c r="G182" i="33"/>
  <c r="E182" i="33"/>
  <c r="H182" i="33" s="1"/>
  <c r="P181" i="33"/>
  <c r="Q181" i="33" s="1"/>
  <c r="G181" i="33"/>
  <c r="E181" i="33"/>
  <c r="H181" i="33" s="1"/>
  <c r="P180" i="33"/>
  <c r="Q180" i="33" s="1"/>
  <c r="G180" i="33"/>
  <c r="E180" i="33"/>
  <c r="H180" i="33" s="1"/>
  <c r="P179" i="33"/>
  <c r="Q179" i="33" s="1"/>
  <c r="G179" i="33"/>
  <c r="E179" i="33"/>
  <c r="H179" i="33" s="1"/>
  <c r="G178" i="33"/>
  <c r="E178" i="33"/>
  <c r="H178" i="33" s="1"/>
  <c r="P177" i="33"/>
  <c r="Q177" i="33" s="1"/>
  <c r="G177" i="33"/>
  <c r="E177" i="33"/>
  <c r="H177" i="33" s="1"/>
  <c r="P176" i="33"/>
  <c r="Q176" i="33" s="1"/>
  <c r="G176" i="33"/>
  <c r="E176" i="33"/>
  <c r="H176" i="33" s="1"/>
  <c r="P175" i="33"/>
  <c r="Q175" i="33" s="1"/>
  <c r="G175" i="33"/>
  <c r="E175" i="33"/>
  <c r="H175" i="33" s="1"/>
  <c r="P174" i="33"/>
  <c r="Q174" i="33" s="1"/>
  <c r="G174" i="33"/>
  <c r="E174" i="33"/>
  <c r="H174" i="33" s="1"/>
  <c r="P173" i="33"/>
  <c r="Q173" i="33" s="1"/>
  <c r="G173" i="33"/>
  <c r="E173" i="33"/>
  <c r="H173" i="33" s="1"/>
  <c r="P172" i="33"/>
  <c r="Q172" i="33" s="1"/>
  <c r="G172" i="33"/>
  <c r="G184" i="33" s="1"/>
  <c r="E172" i="33"/>
  <c r="H172" i="33" s="1"/>
  <c r="H184" i="33" s="1"/>
  <c r="F170" i="33"/>
  <c r="P170" i="33" s="1"/>
  <c r="Q170" i="33" s="1"/>
  <c r="D170" i="33"/>
  <c r="P169" i="33"/>
  <c r="Q169" i="33" s="1"/>
  <c r="G169" i="33"/>
  <c r="E169" i="33"/>
  <c r="H169" i="33" s="1"/>
  <c r="P168" i="33"/>
  <c r="Q168" i="33" s="1"/>
  <c r="G168" i="33"/>
  <c r="G170" i="33" s="1"/>
  <c r="E168" i="33"/>
  <c r="H168" i="33" s="1"/>
  <c r="H170" i="33" s="1"/>
  <c r="F166" i="33"/>
  <c r="P166" i="33" s="1"/>
  <c r="Q166" i="33" s="1"/>
  <c r="D166" i="33"/>
  <c r="P165" i="33"/>
  <c r="Q165" i="33" s="1"/>
  <c r="G165" i="33"/>
  <c r="E165" i="33"/>
  <c r="H165" i="33" s="1"/>
  <c r="P164" i="33"/>
  <c r="Q164" i="33" s="1"/>
  <c r="G164" i="33"/>
  <c r="E164" i="33"/>
  <c r="H164" i="33" s="1"/>
  <c r="P163" i="33"/>
  <c r="Q163" i="33" s="1"/>
  <c r="G163" i="33"/>
  <c r="E163" i="33"/>
  <c r="H163" i="33" s="1"/>
  <c r="P162" i="33"/>
  <c r="Q162" i="33" s="1"/>
  <c r="G162" i="33"/>
  <c r="E162" i="33"/>
  <c r="H162" i="33" s="1"/>
  <c r="P161" i="33"/>
  <c r="Q161" i="33" s="1"/>
  <c r="H161" i="33"/>
  <c r="G161" i="33"/>
  <c r="P160" i="33"/>
  <c r="Q160" i="33" s="1"/>
  <c r="H160" i="33"/>
  <c r="G160" i="33"/>
  <c r="P159" i="33"/>
  <c r="Q159" i="33" s="1"/>
  <c r="G159" i="33"/>
  <c r="E159" i="33"/>
  <c r="H159" i="33" s="1"/>
  <c r="P158" i="33"/>
  <c r="Q158" i="33" s="1"/>
  <c r="H158" i="33"/>
  <c r="G158" i="33"/>
  <c r="P157" i="33"/>
  <c r="Q157" i="33" s="1"/>
  <c r="H157" i="33"/>
  <c r="G157" i="33"/>
  <c r="P156" i="33"/>
  <c r="Q156" i="33" s="1"/>
  <c r="G156" i="33"/>
  <c r="G166" i="33" s="1"/>
  <c r="E156" i="33"/>
  <c r="H156" i="33" s="1"/>
  <c r="H166" i="33" s="1"/>
  <c r="F154" i="33"/>
  <c r="P154" i="33" s="1"/>
  <c r="Q154" i="33" s="1"/>
  <c r="D154" i="33"/>
  <c r="Q153" i="33"/>
  <c r="P153" i="33"/>
  <c r="G153" i="33"/>
  <c r="E153" i="33"/>
  <c r="P152" i="33"/>
  <c r="Q152" i="33" s="1"/>
  <c r="H152" i="33"/>
  <c r="G152" i="33"/>
  <c r="P151" i="33"/>
  <c r="Q151" i="33" s="1"/>
  <c r="H151" i="33"/>
  <c r="G151" i="33"/>
  <c r="P150" i="33"/>
  <c r="Q150" i="33" s="1"/>
  <c r="G150" i="33"/>
  <c r="G154" i="33" s="1"/>
  <c r="E150" i="33"/>
  <c r="H150" i="33" s="1"/>
  <c r="H154" i="33" s="1"/>
  <c r="E149" i="33"/>
  <c r="F146" i="33"/>
  <c r="E146" i="33"/>
  <c r="D146" i="33"/>
  <c r="P145" i="33"/>
  <c r="Q145" i="33" s="1"/>
  <c r="H145" i="33"/>
  <c r="G145" i="33"/>
  <c r="P144" i="33"/>
  <c r="Q144" i="33" s="1"/>
  <c r="H144" i="33"/>
  <c r="H146" i="33" s="1"/>
  <c r="G144" i="33"/>
  <c r="G146" i="33" s="1"/>
  <c r="F142" i="33"/>
  <c r="P142" i="33" s="1"/>
  <c r="Q142" i="33" s="1"/>
  <c r="D142" i="33"/>
  <c r="P141" i="33"/>
  <c r="Q141" i="33" s="1"/>
  <c r="H141" i="33"/>
  <c r="G141" i="33"/>
  <c r="P140" i="33"/>
  <c r="Q140" i="33" s="1"/>
  <c r="H140" i="33"/>
  <c r="G140" i="33"/>
  <c r="P139" i="33"/>
  <c r="Q139" i="33" s="1"/>
  <c r="H139" i="33"/>
  <c r="G139" i="33"/>
  <c r="P138" i="33"/>
  <c r="Q138" i="33" s="1"/>
  <c r="G138" i="33"/>
  <c r="E138" i="33"/>
  <c r="H138" i="33" s="1"/>
  <c r="P137" i="33"/>
  <c r="Q137" i="33" s="1"/>
  <c r="G137" i="33"/>
  <c r="E137" i="33"/>
  <c r="H137" i="33" s="1"/>
  <c r="P136" i="33"/>
  <c r="Q136" i="33" s="1"/>
  <c r="H136" i="33"/>
  <c r="G136" i="33"/>
  <c r="P135" i="33"/>
  <c r="Q135" i="33" s="1"/>
  <c r="H135" i="33"/>
  <c r="G135" i="33"/>
  <c r="P134" i="33"/>
  <c r="Q134" i="33" s="1"/>
  <c r="G134" i="33"/>
  <c r="E134" i="33"/>
  <c r="H134" i="33" s="1"/>
  <c r="P133" i="33"/>
  <c r="Q133" i="33" s="1"/>
  <c r="H133" i="33"/>
  <c r="G133" i="33"/>
  <c r="P132" i="33"/>
  <c r="Q132" i="33" s="1"/>
  <c r="H132" i="33"/>
  <c r="G132" i="33"/>
  <c r="P131" i="33"/>
  <c r="Q131" i="33" s="1"/>
  <c r="H131" i="33"/>
  <c r="G131" i="33"/>
  <c r="P130" i="33"/>
  <c r="Q130" i="33" s="1"/>
  <c r="G130" i="33"/>
  <c r="E130" i="33"/>
  <c r="H130" i="33" s="1"/>
  <c r="P129" i="33"/>
  <c r="Q129" i="33" s="1"/>
  <c r="G129" i="33"/>
  <c r="E129" i="33"/>
  <c r="H129" i="33" s="1"/>
  <c r="P128" i="33"/>
  <c r="Q128" i="33" s="1"/>
  <c r="G128" i="33"/>
  <c r="E128" i="33"/>
  <c r="H128" i="33" s="1"/>
  <c r="P127" i="33"/>
  <c r="Q127" i="33" s="1"/>
  <c r="G127" i="33"/>
  <c r="E127" i="33"/>
  <c r="H127" i="33" s="1"/>
  <c r="P126" i="33"/>
  <c r="Q126" i="33" s="1"/>
  <c r="G126" i="33"/>
  <c r="G142" i="33" s="1"/>
  <c r="E126" i="33"/>
  <c r="F124" i="33"/>
  <c r="P124" i="33" s="1"/>
  <c r="Q124" i="33" s="1"/>
  <c r="D124" i="33"/>
  <c r="P123" i="33"/>
  <c r="Q123" i="33" s="1"/>
  <c r="G123" i="33"/>
  <c r="E123" i="33"/>
  <c r="H123" i="33" s="1"/>
  <c r="P122" i="33"/>
  <c r="Q122" i="33" s="1"/>
  <c r="H122" i="33"/>
  <c r="G122" i="33"/>
  <c r="P121" i="33"/>
  <c r="Q121" i="33" s="1"/>
  <c r="H121" i="33"/>
  <c r="G121" i="33"/>
  <c r="P120" i="33"/>
  <c r="Q120" i="33" s="1"/>
  <c r="H120" i="33"/>
  <c r="G120" i="33"/>
  <c r="P119" i="33"/>
  <c r="Q119" i="33" s="1"/>
  <c r="H119" i="33"/>
  <c r="H124" i="33" s="1"/>
  <c r="G119" i="33"/>
  <c r="G124" i="33" s="1"/>
  <c r="F115" i="33"/>
  <c r="P115" i="33" s="1"/>
  <c r="Q115" i="33" s="1"/>
  <c r="E115" i="33"/>
  <c r="D115" i="33"/>
  <c r="P114" i="33"/>
  <c r="Q114" i="33" s="1"/>
  <c r="H114" i="33"/>
  <c r="G114" i="33"/>
  <c r="P113" i="33"/>
  <c r="Q113" i="33" s="1"/>
  <c r="H113" i="33"/>
  <c r="H115" i="33" s="1"/>
  <c r="G113" i="33"/>
  <c r="G115" i="33" s="1"/>
  <c r="F111" i="33"/>
  <c r="D111" i="33"/>
  <c r="P110" i="33"/>
  <c r="Q110" i="33" s="1"/>
  <c r="H110" i="33"/>
  <c r="G110" i="33"/>
  <c r="E109" i="33"/>
  <c r="P108" i="33"/>
  <c r="Q108" i="33" s="1"/>
  <c r="G108" i="33"/>
  <c r="E108" i="33"/>
  <c r="H108" i="33" s="1"/>
  <c r="P107" i="33"/>
  <c r="Q107" i="33" s="1"/>
  <c r="H107" i="33"/>
  <c r="G107" i="33"/>
  <c r="P106" i="33"/>
  <c r="Q106" i="33" s="1"/>
  <c r="G106" i="33"/>
  <c r="G111" i="33" s="1"/>
  <c r="E106" i="33"/>
  <c r="F104" i="33"/>
  <c r="P104" i="33" s="1"/>
  <c r="Q104" i="33" s="1"/>
  <c r="E104" i="33"/>
  <c r="D104" i="33"/>
  <c r="P103" i="33"/>
  <c r="Q103" i="33" s="1"/>
  <c r="H103" i="33"/>
  <c r="H104" i="33" s="1"/>
  <c r="G103" i="33"/>
  <c r="G104" i="33" s="1"/>
  <c r="F101" i="33"/>
  <c r="P101" i="33" s="1"/>
  <c r="Q101" i="33" s="1"/>
  <c r="D101" i="33"/>
  <c r="P100" i="33"/>
  <c r="Q100" i="33" s="1"/>
  <c r="H100" i="33"/>
  <c r="G100" i="33"/>
  <c r="P99" i="33"/>
  <c r="Q99" i="33" s="1"/>
  <c r="G99" i="33"/>
  <c r="G101" i="33" s="1"/>
  <c r="E99" i="33"/>
  <c r="E101" i="33" s="1"/>
  <c r="F97" i="33"/>
  <c r="P97" i="33" s="1"/>
  <c r="Q97" i="33" s="1"/>
  <c r="D97" i="33"/>
  <c r="G96" i="33"/>
  <c r="E96" i="33"/>
  <c r="H96" i="33" s="1"/>
  <c r="G95" i="33"/>
  <c r="E95" i="33"/>
  <c r="H95" i="33" s="1"/>
  <c r="P94" i="33"/>
  <c r="Q94" i="33" s="1"/>
  <c r="H94" i="33"/>
  <c r="G94" i="33"/>
  <c r="P93" i="33"/>
  <c r="Q93" i="33" s="1"/>
  <c r="H93" i="33"/>
  <c r="G93" i="33"/>
  <c r="P92" i="33"/>
  <c r="Q92" i="33" s="1"/>
  <c r="H92" i="33"/>
  <c r="G92" i="33"/>
  <c r="G91" i="33"/>
  <c r="E91" i="33"/>
  <c r="H91" i="33" s="1"/>
  <c r="P90" i="33"/>
  <c r="Q90" i="33" s="1"/>
  <c r="H90" i="33"/>
  <c r="G90" i="33"/>
  <c r="P89" i="33"/>
  <c r="Q89" i="33" s="1"/>
  <c r="G89" i="33"/>
  <c r="E89" i="33"/>
  <c r="H89" i="33" s="1"/>
  <c r="P88" i="33"/>
  <c r="Q88" i="33" s="1"/>
  <c r="G88" i="33"/>
  <c r="E88" i="33"/>
  <c r="H88" i="33" s="1"/>
  <c r="P87" i="33"/>
  <c r="Q87" i="33" s="1"/>
  <c r="G87" i="33"/>
  <c r="E87" i="33"/>
  <c r="H87" i="33" s="1"/>
  <c r="P86" i="33"/>
  <c r="Q86" i="33" s="1"/>
  <c r="G86" i="33"/>
  <c r="E86" i="33"/>
  <c r="H86" i="33" s="1"/>
  <c r="H85" i="33"/>
  <c r="G85" i="33"/>
  <c r="P84" i="33"/>
  <c r="Q84" i="33" s="1"/>
  <c r="G84" i="33"/>
  <c r="E84" i="33"/>
  <c r="H84" i="33" s="1"/>
  <c r="P83" i="33"/>
  <c r="Q83" i="33" s="1"/>
  <c r="H83" i="33"/>
  <c r="G83" i="33"/>
  <c r="P82" i="33"/>
  <c r="Q82" i="33" s="1"/>
  <c r="G82" i="33"/>
  <c r="E82" i="33"/>
  <c r="H82" i="33" s="1"/>
  <c r="P81" i="33"/>
  <c r="Q81" i="33" s="1"/>
  <c r="G81" i="33"/>
  <c r="E81" i="33"/>
  <c r="H81" i="33" s="1"/>
  <c r="P80" i="33"/>
  <c r="Q80" i="33" s="1"/>
  <c r="G80" i="33"/>
  <c r="E80" i="33"/>
  <c r="H80" i="33" s="1"/>
  <c r="P79" i="33"/>
  <c r="Q79" i="33" s="1"/>
  <c r="G79" i="33"/>
  <c r="E79" i="33"/>
  <c r="H79" i="33" s="1"/>
  <c r="P78" i="33"/>
  <c r="Q78" i="33" s="1"/>
  <c r="G78" i="33"/>
  <c r="E78" i="33"/>
  <c r="H78" i="33" s="1"/>
  <c r="H77" i="33"/>
  <c r="G77" i="33"/>
  <c r="P76" i="33"/>
  <c r="Q76" i="33" s="1"/>
  <c r="H76" i="33"/>
  <c r="G76" i="33"/>
  <c r="P75" i="33"/>
  <c r="Q75" i="33" s="1"/>
  <c r="H75" i="33"/>
  <c r="G75" i="33"/>
  <c r="P74" i="33"/>
  <c r="Q74" i="33" s="1"/>
  <c r="G74" i="33"/>
  <c r="E74" i="33"/>
  <c r="H74" i="33" s="1"/>
  <c r="P72" i="33"/>
  <c r="Q72" i="33" s="1"/>
  <c r="G72" i="33"/>
  <c r="E72" i="33"/>
  <c r="H72" i="33" s="1"/>
  <c r="P71" i="33"/>
  <c r="Q71" i="33" s="1"/>
  <c r="G71" i="33"/>
  <c r="E71" i="33"/>
  <c r="H71" i="33" s="1"/>
  <c r="P70" i="33"/>
  <c r="Q70" i="33" s="1"/>
  <c r="G70" i="33"/>
  <c r="E70" i="33"/>
  <c r="P69" i="33"/>
  <c r="Q69" i="33" s="1"/>
  <c r="G69" i="33"/>
  <c r="G97" i="33" s="1"/>
  <c r="E69" i="33"/>
  <c r="H69" i="33" s="1"/>
  <c r="H97" i="33" s="1"/>
  <c r="F67" i="33"/>
  <c r="P67" i="33" s="1"/>
  <c r="Q67" i="33" s="1"/>
  <c r="D67" i="33"/>
  <c r="P66" i="33"/>
  <c r="Q66" i="33" s="1"/>
  <c r="G66" i="33"/>
  <c r="E66" i="33"/>
  <c r="H66" i="33" s="1"/>
  <c r="Q65" i="33"/>
  <c r="P65" i="33"/>
  <c r="H65" i="33"/>
  <c r="G65" i="33"/>
  <c r="P64" i="33"/>
  <c r="Q64" i="33" s="1"/>
  <c r="G64" i="33"/>
  <c r="E64" i="33"/>
  <c r="H64" i="33" s="1"/>
  <c r="P63" i="33"/>
  <c r="Q63" i="33" s="1"/>
  <c r="G63" i="33"/>
  <c r="G67" i="33" s="1"/>
  <c r="E63" i="33"/>
  <c r="F61" i="33"/>
  <c r="P61" i="33" s="1"/>
  <c r="Q61" i="33" s="1"/>
  <c r="D61" i="33"/>
  <c r="P60" i="33"/>
  <c r="Q60" i="33" s="1"/>
  <c r="H60" i="33"/>
  <c r="G60" i="33"/>
  <c r="P59" i="33"/>
  <c r="Q59" i="33" s="1"/>
  <c r="G59" i="33"/>
  <c r="E59" i="33"/>
  <c r="H59" i="33" s="1"/>
  <c r="P58" i="33"/>
  <c r="Q58" i="33" s="1"/>
  <c r="H58" i="33"/>
  <c r="G58" i="33"/>
  <c r="P57" i="33"/>
  <c r="Q57" i="33" s="1"/>
  <c r="G57" i="33"/>
  <c r="E57" i="33"/>
  <c r="H57" i="33" s="1"/>
  <c r="P56" i="33"/>
  <c r="Q56" i="33" s="1"/>
  <c r="H56" i="33"/>
  <c r="G56" i="33"/>
  <c r="P55" i="33"/>
  <c r="Q55" i="33" s="1"/>
  <c r="G55" i="33"/>
  <c r="E55" i="33"/>
  <c r="H55" i="33" s="1"/>
  <c r="P54" i="33"/>
  <c r="Q54" i="33" s="1"/>
  <c r="G54" i="33"/>
  <c r="E54" i="33"/>
  <c r="H54" i="33" s="1"/>
  <c r="P53" i="33"/>
  <c r="Q53" i="33" s="1"/>
  <c r="G53" i="33"/>
  <c r="E53" i="33"/>
  <c r="H53" i="33" s="1"/>
  <c r="H52" i="33"/>
  <c r="G52" i="33"/>
  <c r="P51" i="33"/>
  <c r="Q51" i="33" s="1"/>
  <c r="G51" i="33"/>
  <c r="G61" i="33" s="1"/>
  <c r="E51" i="33"/>
  <c r="F49" i="33"/>
  <c r="P49" i="33" s="1"/>
  <c r="Q49" i="33" s="1"/>
  <c r="D49" i="33"/>
  <c r="P48" i="33"/>
  <c r="Q48" i="33" s="1"/>
  <c r="G48" i="33"/>
  <c r="E48" i="33"/>
  <c r="H48" i="33" s="1"/>
  <c r="P47" i="33"/>
  <c r="Q47" i="33" s="1"/>
  <c r="H47" i="33"/>
  <c r="G47" i="33"/>
  <c r="P46" i="33"/>
  <c r="Q46" i="33" s="1"/>
  <c r="H46" i="33"/>
  <c r="G46" i="33"/>
  <c r="P45" i="33"/>
  <c r="Q45" i="33" s="1"/>
  <c r="G45" i="33"/>
  <c r="G49" i="33" s="1"/>
  <c r="E45" i="33"/>
  <c r="E44" i="33"/>
  <c r="F41" i="33"/>
  <c r="P41" i="33" s="1"/>
  <c r="Q41" i="33" s="1"/>
  <c r="D41" i="33"/>
  <c r="P40" i="33"/>
  <c r="Q40" i="33" s="1"/>
  <c r="G40" i="33"/>
  <c r="E40" i="33"/>
  <c r="H40" i="33" s="1"/>
  <c r="P39" i="33"/>
  <c r="Q39" i="33" s="1"/>
  <c r="G39" i="33"/>
  <c r="G41" i="33" s="1"/>
  <c r="E39" i="33"/>
  <c r="F37" i="33"/>
  <c r="P37" i="33" s="1"/>
  <c r="Q37" i="33" s="1"/>
  <c r="E37" i="33"/>
  <c r="D37" i="33"/>
  <c r="P36" i="33"/>
  <c r="Q36" i="33" s="1"/>
  <c r="H36" i="33"/>
  <c r="G36" i="33"/>
  <c r="P35" i="33"/>
  <c r="Q35" i="33" s="1"/>
  <c r="H35" i="33"/>
  <c r="H37" i="33" s="1"/>
  <c r="G35" i="33"/>
  <c r="G37" i="33" s="1"/>
  <c r="F33" i="33"/>
  <c r="P33" i="33" s="1"/>
  <c r="Q33" i="33" s="1"/>
  <c r="D33" i="33"/>
  <c r="P32" i="33"/>
  <c r="Q32" i="33" s="1"/>
  <c r="G32" i="33"/>
  <c r="G33" i="33" s="1"/>
  <c r="E32" i="33"/>
  <c r="H32" i="33" s="1"/>
  <c r="H33" i="33" s="1"/>
  <c r="F30" i="33"/>
  <c r="P30" i="33" s="1"/>
  <c r="Q30" i="33" s="1"/>
  <c r="D30" i="33"/>
  <c r="P29" i="33"/>
  <c r="Q29" i="33" s="1"/>
  <c r="G29" i="33"/>
  <c r="E29" i="33"/>
  <c r="H29" i="33" s="1"/>
  <c r="P28" i="33"/>
  <c r="Q28" i="33" s="1"/>
  <c r="G28" i="33"/>
  <c r="E28" i="33"/>
  <c r="H28" i="33" s="1"/>
  <c r="G27" i="33"/>
  <c r="E27" i="33"/>
  <c r="H27" i="33" s="1"/>
  <c r="G26" i="33"/>
  <c r="E26" i="33"/>
  <c r="H26" i="33" s="1"/>
  <c r="P25" i="33"/>
  <c r="Q25" i="33" s="1"/>
  <c r="G25" i="33"/>
  <c r="E25" i="33"/>
  <c r="H25" i="33" s="1"/>
  <c r="P24" i="33"/>
  <c r="Q24" i="33" s="1"/>
  <c r="G24" i="33"/>
  <c r="E24" i="33"/>
  <c r="H24" i="33" s="1"/>
  <c r="P23" i="33"/>
  <c r="Q23" i="33" s="1"/>
  <c r="G23" i="33"/>
  <c r="G30" i="33" s="1"/>
  <c r="E23" i="33"/>
  <c r="H23" i="33" s="1"/>
  <c r="H30" i="33" s="1"/>
  <c r="F21" i="33"/>
  <c r="P21" i="33" s="1"/>
  <c r="Q21" i="33" s="1"/>
  <c r="D21" i="33"/>
  <c r="P20" i="33"/>
  <c r="Q20" i="33" s="1"/>
  <c r="G20" i="33"/>
  <c r="E20" i="33"/>
  <c r="E21" i="33" s="1"/>
  <c r="P19" i="33"/>
  <c r="Q19" i="33" s="1"/>
  <c r="H19" i="33"/>
  <c r="H21" i="33" s="1"/>
  <c r="G19" i="33"/>
  <c r="G21" i="33" s="1"/>
  <c r="F17" i="33"/>
  <c r="P17" i="33" s="1"/>
  <c r="Q17" i="33" s="1"/>
  <c r="D17" i="33"/>
  <c r="P16" i="33"/>
  <c r="Q16" i="33" s="1"/>
  <c r="G16" i="33"/>
  <c r="E16" i="33"/>
  <c r="H16" i="33" s="1"/>
  <c r="P15" i="33"/>
  <c r="Q15" i="33" s="1"/>
  <c r="G15" i="33"/>
  <c r="G17" i="33" s="1"/>
  <c r="E15" i="33"/>
  <c r="F13" i="33"/>
  <c r="P13" i="33" s="1"/>
  <c r="Q13" i="33" s="1"/>
  <c r="E13" i="33"/>
  <c r="D13" i="33"/>
  <c r="P12" i="33"/>
  <c r="Q12" i="33" s="1"/>
  <c r="H12" i="33"/>
  <c r="G12" i="33"/>
  <c r="P11" i="33"/>
  <c r="Q11" i="33" s="1"/>
  <c r="H11" i="33"/>
  <c r="G11" i="33"/>
  <c r="P10" i="33"/>
  <c r="Q10" i="33" s="1"/>
  <c r="H10" i="33"/>
  <c r="H13" i="33" s="1"/>
  <c r="G10" i="33"/>
  <c r="G13" i="33" s="1"/>
  <c r="G5" i="33"/>
  <c r="E5" i="33"/>
  <c r="H5" i="33" s="1"/>
  <c r="F20" i="8"/>
  <c r="F27" i="8" s="1"/>
  <c r="E20" i="8"/>
  <c r="E26" i="8" s="1"/>
  <c r="D20" i="8"/>
  <c r="D29" i="8" s="1"/>
  <c r="F8" i="8"/>
  <c r="F16" i="8" s="1"/>
  <c r="E8" i="8"/>
  <c r="E16" i="8" s="1"/>
  <c r="D8" i="8"/>
  <c r="D15" i="8" s="1"/>
  <c r="F3" i="8"/>
  <c r="E3" i="8"/>
  <c r="D3" i="8"/>
  <c r="J25" i="32"/>
  <c r="J26" i="32" s="1"/>
  <c r="E17" i="32"/>
  <c r="H15" i="32"/>
  <c r="G15" i="32"/>
  <c r="F15" i="32"/>
  <c r="H14" i="32"/>
  <c r="G14" i="32"/>
  <c r="F14" i="32"/>
  <c r="H13" i="32"/>
  <c r="G13" i="32"/>
  <c r="F13" i="32"/>
  <c r="D12" i="32"/>
  <c r="H12" i="32" s="1"/>
  <c r="D11" i="32"/>
  <c r="H11" i="32" s="1"/>
  <c r="D10" i="32"/>
  <c r="G10" i="32" s="1"/>
  <c r="N119" i="31"/>
  <c r="G119" i="31"/>
  <c r="S116" i="31"/>
  <c r="R116" i="31"/>
  <c r="Q116" i="31"/>
  <c r="P116" i="31"/>
  <c r="O116" i="31"/>
  <c r="L116" i="31"/>
  <c r="K116" i="31"/>
  <c r="J116" i="31"/>
  <c r="I116" i="31"/>
  <c r="H116" i="31"/>
  <c r="M115" i="31"/>
  <c r="X114" i="31"/>
  <c r="M114" i="31"/>
  <c r="X113" i="31"/>
  <c r="M113" i="31"/>
  <c r="S110" i="31"/>
  <c r="R110" i="31"/>
  <c r="P110" i="31"/>
  <c r="O110" i="31"/>
  <c r="L110" i="31"/>
  <c r="K110" i="31"/>
  <c r="J110" i="31"/>
  <c r="I110" i="31"/>
  <c r="H110" i="31"/>
  <c r="M109" i="31"/>
  <c r="M108" i="31"/>
  <c r="M107" i="31"/>
  <c r="M106" i="31"/>
  <c r="M105" i="31"/>
  <c r="M104" i="31"/>
  <c r="M103" i="31"/>
  <c r="M102" i="31"/>
  <c r="M101" i="31"/>
  <c r="M100" i="31"/>
  <c r="M99" i="31"/>
  <c r="M98" i="31"/>
  <c r="M97" i="31"/>
  <c r="M96" i="31"/>
  <c r="M95" i="31"/>
  <c r="M94" i="31"/>
  <c r="M93" i="31"/>
  <c r="M92" i="31"/>
  <c r="M91" i="31"/>
  <c r="M90" i="31"/>
  <c r="M89" i="31"/>
  <c r="M88" i="31"/>
  <c r="M87" i="31"/>
  <c r="M86" i="31"/>
  <c r="M85" i="31"/>
  <c r="M84" i="31"/>
  <c r="M83" i="31"/>
  <c r="M82" i="31"/>
  <c r="M81" i="31"/>
  <c r="M80" i="31"/>
  <c r="M79" i="31"/>
  <c r="M78" i="31"/>
  <c r="M77" i="31"/>
  <c r="Q77" i="31" s="1"/>
  <c r="X77" i="31" s="1"/>
  <c r="M76" i="31"/>
  <c r="Q76" i="31" s="1"/>
  <c r="X76" i="31" s="1"/>
  <c r="X75" i="31"/>
  <c r="M75" i="31"/>
  <c r="M74" i="31"/>
  <c r="X73" i="31"/>
  <c r="M73" i="31"/>
  <c r="X72" i="31"/>
  <c r="M72" i="31"/>
  <c r="X71" i="31"/>
  <c r="M71" i="31"/>
  <c r="X70" i="31"/>
  <c r="M70" i="31"/>
  <c r="M69" i="31"/>
  <c r="Q69" i="31" s="1"/>
  <c r="X69" i="31" s="1"/>
  <c r="AC11" i="31" s="1"/>
  <c r="X68" i="31"/>
  <c r="M68" i="31"/>
  <c r="S65" i="31"/>
  <c r="R65" i="31"/>
  <c r="P65" i="31"/>
  <c r="O65" i="31"/>
  <c r="L65" i="31"/>
  <c r="K65" i="31"/>
  <c r="J65" i="31"/>
  <c r="I65" i="31"/>
  <c r="H65" i="31"/>
  <c r="Q64" i="31"/>
  <c r="X64" i="31" s="1"/>
  <c r="M64" i="31"/>
  <c r="M63" i="31"/>
  <c r="M62" i="31"/>
  <c r="M61" i="31"/>
  <c r="Q60" i="31"/>
  <c r="X60" i="31" s="1"/>
  <c r="AC22" i="31" s="1"/>
  <c r="M60" i="31"/>
  <c r="M59" i="31"/>
  <c r="Q59" i="31" s="1"/>
  <c r="X59" i="31" s="1"/>
  <c r="AC16" i="31" s="1"/>
  <c r="X58" i="31"/>
  <c r="M58" i="31"/>
  <c r="X57" i="31"/>
  <c r="M57" i="31"/>
  <c r="M56" i="31"/>
  <c r="S53" i="31"/>
  <c r="R53" i="31"/>
  <c r="P53" i="31"/>
  <c r="O53" i="31"/>
  <c r="L53" i="31"/>
  <c r="K53" i="31"/>
  <c r="J53" i="31"/>
  <c r="I53" i="31"/>
  <c r="H53" i="31"/>
  <c r="M52" i="31"/>
  <c r="Q52" i="31" s="1"/>
  <c r="X52" i="31" s="1"/>
  <c r="M51" i="31"/>
  <c r="Q51" i="31" s="1"/>
  <c r="X50" i="31"/>
  <c r="M50" i="31"/>
  <c r="X49" i="31"/>
  <c r="M49" i="31"/>
  <c r="X48" i="31"/>
  <c r="M48" i="31"/>
  <c r="X47" i="31"/>
  <c r="M47" i="31"/>
  <c r="X46" i="31"/>
  <c r="M46" i="31"/>
  <c r="S43" i="31"/>
  <c r="R43" i="31"/>
  <c r="P43" i="31"/>
  <c r="O43" i="31"/>
  <c r="L43" i="31"/>
  <c r="K43" i="31"/>
  <c r="J43" i="31"/>
  <c r="I43" i="31"/>
  <c r="H43" i="31"/>
  <c r="M42" i="31"/>
  <c r="E42" i="31"/>
  <c r="M41" i="31"/>
  <c r="E41" i="31"/>
  <c r="M40" i="31"/>
  <c r="M39" i="31"/>
  <c r="M38" i="31"/>
  <c r="Q38" i="31" s="1"/>
  <c r="X38" i="31" s="1"/>
  <c r="S35" i="31"/>
  <c r="R35" i="31"/>
  <c r="P35" i="31"/>
  <c r="O35" i="31"/>
  <c r="L35" i="31"/>
  <c r="I35" i="31"/>
  <c r="H35" i="31"/>
  <c r="U34" i="31"/>
  <c r="M33" i="31"/>
  <c r="Q33" i="31" s="1"/>
  <c r="S30" i="31"/>
  <c r="R30" i="31"/>
  <c r="P30" i="31"/>
  <c r="O30" i="31"/>
  <c r="L30" i="31"/>
  <c r="K30" i="31"/>
  <c r="J30" i="31"/>
  <c r="I30" i="31"/>
  <c r="H30" i="31"/>
  <c r="M29" i="31"/>
  <c r="Q29" i="31" s="1"/>
  <c r="X29" i="31" s="1"/>
  <c r="M28" i="31"/>
  <c r="Q28" i="31" s="1"/>
  <c r="X28" i="31" s="1"/>
  <c r="M27" i="31"/>
  <c r="Q27" i="31" s="1"/>
  <c r="X26" i="31"/>
  <c r="M26" i="31"/>
  <c r="X25" i="31"/>
  <c r="M25" i="31"/>
  <c r="X24" i="31"/>
  <c r="M24" i="31"/>
  <c r="X23" i="31"/>
  <c r="M23" i="31"/>
  <c r="AC21" i="31"/>
  <c r="AC20" i="31"/>
  <c r="S20" i="31"/>
  <c r="R20" i="31"/>
  <c r="P20" i="31"/>
  <c r="O20" i="31"/>
  <c r="O119" i="31" s="1"/>
  <c r="L20" i="31"/>
  <c r="K20" i="31"/>
  <c r="J20" i="31"/>
  <c r="J119" i="31" s="1"/>
  <c r="I20" i="31"/>
  <c r="H20" i="31"/>
  <c r="AC19" i="31"/>
  <c r="M19" i="31"/>
  <c r="E19" i="31"/>
  <c r="AC18" i="31"/>
  <c r="X18" i="31"/>
  <c r="N18" i="31"/>
  <c r="U18" i="31" s="1"/>
  <c r="AH17" i="31"/>
  <c r="AC17" i="31"/>
  <c r="M17" i="31"/>
  <c r="E17" i="31"/>
  <c r="M16" i="31"/>
  <c r="E16" i="31"/>
  <c r="X15" i="31"/>
  <c r="M15" i="31"/>
  <c r="X14" i="31"/>
  <c r="N14" i="31"/>
  <c r="U14" i="31" s="1"/>
  <c r="M14" i="31"/>
  <c r="V14" i="31" s="1"/>
  <c r="M13" i="31"/>
  <c r="E13" i="31"/>
  <c r="M12" i="31"/>
  <c r="E12" i="31"/>
  <c r="AC9" i="31"/>
  <c r="V9" i="31"/>
  <c r="U9" i="31"/>
  <c r="T9" i="31"/>
  <c r="N9" i="31"/>
  <c r="N119" i="30"/>
  <c r="G119" i="30"/>
  <c r="S116" i="30"/>
  <c r="R116" i="30"/>
  <c r="Q116" i="30"/>
  <c r="P116" i="30"/>
  <c r="O116" i="30"/>
  <c r="L116" i="30"/>
  <c r="K116" i="30"/>
  <c r="J116" i="30"/>
  <c r="I116" i="30"/>
  <c r="H116" i="30"/>
  <c r="U115" i="30"/>
  <c r="T115" i="30"/>
  <c r="N115" i="31" s="1"/>
  <c r="M115" i="30"/>
  <c r="X114" i="30"/>
  <c r="U114" i="30"/>
  <c r="T114" i="30"/>
  <c r="N114" i="31" s="1"/>
  <c r="M114" i="30"/>
  <c r="X113" i="30"/>
  <c r="U113" i="30"/>
  <c r="T113" i="30"/>
  <c r="M113" i="30"/>
  <c r="S110" i="30"/>
  <c r="R110" i="30"/>
  <c r="P110" i="30"/>
  <c r="O110" i="30"/>
  <c r="L110" i="30"/>
  <c r="K110" i="30"/>
  <c r="J110" i="30"/>
  <c r="I110" i="30"/>
  <c r="H110" i="30"/>
  <c r="U109" i="30"/>
  <c r="T109" i="30"/>
  <c r="N109" i="31" s="1"/>
  <c r="M109" i="30"/>
  <c r="U108" i="30"/>
  <c r="T108" i="30"/>
  <c r="M108" i="30"/>
  <c r="U107" i="30"/>
  <c r="T107" i="30"/>
  <c r="N107" i="31" s="1"/>
  <c r="M107" i="30"/>
  <c r="U106" i="30"/>
  <c r="T106" i="30"/>
  <c r="N106" i="31" s="1"/>
  <c r="M106" i="30"/>
  <c r="V106" i="30" s="1"/>
  <c r="U105" i="30"/>
  <c r="T105" i="30"/>
  <c r="N105" i="31" s="1"/>
  <c r="M105" i="30"/>
  <c r="U104" i="30"/>
  <c r="T104" i="30"/>
  <c r="N104" i="31" s="1"/>
  <c r="M104" i="30"/>
  <c r="U103" i="30"/>
  <c r="T103" i="30"/>
  <c r="N103" i="31" s="1"/>
  <c r="M103" i="30"/>
  <c r="U102" i="30"/>
  <c r="T102" i="30"/>
  <c r="N102" i="31" s="1"/>
  <c r="M102" i="30"/>
  <c r="U101" i="30"/>
  <c r="T101" i="30"/>
  <c r="N101" i="31" s="1"/>
  <c r="M101" i="30"/>
  <c r="U100" i="30"/>
  <c r="T100" i="30"/>
  <c r="N100" i="31" s="1"/>
  <c r="M100" i="30"/>
  <c r="U99" i="30"/>
  <c r="T99" i="30"/>
  <c r="N99" i="31" s="1"/>
  <c r="M99" i="30"/>
  <c r="U98" i="30"/>
  <c r="T98" i="30"/>
  <c r="N98" i="31" s="1"/>
  <c r="M98" i="30"/>
  <c r="U97" i="30"/>
  <c r="T97" i="30"/>
  <c r="N97" i="31" s="1"/>
  <c r="M97" i="30"/>
  <c r="U96" i="30"/>
  <c r="T96" i="30"/>
  <c r="N96" i="31" s="1"/>
  <c r="M96" i="30"/>
  <c r="U95" i="30"/>
  <c r="T95" i="30"/>
  <c r="N95" i="31" s="1"/>
  <c r="M95" i="30"/>
  <c r="U94" i="30"/>
  <c r="T94" i="30"/>
  <c r="N94" i="31" s="1"/>
  <c r="M94" i="30"/>
  <c r="U93" i="30"/>
  <c r="T93" i="30"/>
  <c r="N93" i="31" s="1"/>
  <c r="M93" i="30"/>
  <c r="U92" i="30"/>
  <c r="T92" i="30"/>
  <c r="M92" i="30"/>
  <c r="U91" i="30"/>
  <c r="T91" i="30"/>
  <c r="N91" i="31" s="1"/>
  <c r="M91" i="30"/>
  <c r="U90" i="30"/>
  <c r="T90" i="30"/>
  <c r="N90" i="31" s="1"/>
  <c r="M90" i="30"/>
  <c r="U89" i="30"/>
  <c r="T89" i="30"/>
  <c r="N89" i="31" s="1"/>
  <c r="M89" i="30"/>
  <c r="U88" i="30"/>
  <c r="T88" i="30"/>
  <c r="N88" i="31" s="1"/>
  <c r="M88" i="30"/>
  <c r="U87" i="30"/>
  <c r="T87" i="30"/>
  <c r="N87" i="31" s="1"/>
  <c r="M87" i="30"/>
  <c r="U86" i="30"/>
  <c r="T86" i="30"/>
  <c r="N86" i="31" s="1"/>
  <c r="M86" i="30"/>
  <c r="U85" i="30"/>
  <c r="T85" i="30"/>
  <c r="N85" i="31" s="1"/>
  <c r="M85" i="30"/>
  <c r="U84" i="30"/>
  <c r="T84" i="30"/>
  <c r="N84" i="31" s="1"/>
  <c r="M84" i="30"/>
  <c r="U83" i="30"/>
  <c r="T83" i="30"/>
  <c r="N83" i="31" s="1"/>
  <c r="M83" i="30"/>
  <c r="U82" i="30"/>
  <c r="T82" i="30"/>
  <c r="N82" i="31" s="1"/>
  <c r="M82" i="30"/>
  <c r="U81" i="30"/>
  <c r="T81" i="30"/>
  <c r="N81" i="31" s="1"/>
  <c r="M81" i="30"/>
  <c r="U80" i="30"/>
  <c r="T80" i="30"/>
  <c r="N80" i="31" s="1"/>
  <c r="M80" i="30"/>
  <c r="U79" i="30"/>
  <c r="T79" i="30"/>
  <c r="N79" i="31" s="1"/>
  <c r="M79" i="30"/>
  <c r="U78" i="30"/>
  <c r="T78" i="30"/>
  <c r="N78" i="31" s="1"/>
  <c r="M78" i="30"/>
  <c r="U77" i="30"/>
  <c r="M77" i="30"/>
  <c r="Q77" i="30" s="1"/>
  <c r="U76" i="30"/>
  <c r="M76" i="30"/>
  <c r="X75" i="30"/>
  <c r="U75" i="30"/>
  <c r="T75" i="30"/>
  <c r="N75" i="31" s="1"/>
  <c r="M75" i="30"/>
  <c r="U74" i="30"/>
  <c r="M74" i="30"/>
  <c r="Q74" i="30" s="1"/>
  <c r="X73" i="30"/>
  <c r="U73" i="30"/>
  <c r="T73" i="30"/>
  <c r="N73" i="31" s="1"/>
  <c r="M73" i="30"/>
  <c r="X72" i="30"/>
  <c r="U72" i="30"/>
  <c r="T72" i="30"/>
  <c r="M72" i="30"/>
  <c r="X71" i="30"/>
  <c r="U71" i="30"/>
  <c r="T71" i="30"/>
  <c r="N71" i="31" s="1"/>
  <c r="M71" i="30"/>
  <c r="X70" i="30"/>
  <c r="U70" i="30"/>
  <c r="T70" i="30"/>
  <c r="N70" i="31" s="1"/>
  <c r="M70" i="30"/>
  <c r="U69" i="30"/>
  <c r="M69" i="30"/>
  <c r="Q69" i="30" s="1"/>
  <c r="T69" i="30" s="1"/>
  <c r="N69" i="31" s="1"/>
  <c r="X68" i="30"/>
  <c r="AC19" i="30" s="1"/>
  <c r="U68" i="30"/>
  <c r="T68" i="30"/>
  <c r="N68" i="31" s="1"/>
  <c r="M68" i="30"/>
  <c r="S65" i="30"/>
  <c r="R65" i="30"/>
  <c r="P65" i="30"/>
  <c r="O65" i="30"/>
  <c r="L65" i="30"/>
  <c r="K65" i="30"/>
  <c r="J65" i="30"/>
  <c r="I65" i="30"/>
  <c r="H65" i="30"/>
  <c r="U64" i="30"/>
  <c r="M64" i="30"/>
  <c r="U63" i="30"/>
  <c r="M63" i="30"/>
  <c r="Q63" i="30" s="1"/>
  <c r="U62" i="30"/>
  <c r="M62" i="30"/>
  <c r="Q62" i="30" s="1"/>
  <c r="X62" i="30" s="1"/>
  <c r="U61" i="30"/>
  <c r="M61" i="30"/>
  <c r="U60" i="30"/>
  <c r="M60" i="30"/>
  <c r="Q60" i="30" s="1"/>
  <c r="T60" i="30" s="1"/>
  <c r="N60" i="31" s="1"/>
  <c r="U59" i="30"/>
  <c r="M59" i="30"/>
  <c r="Q59" i="30" s="1"/>
  <c r="X58" i="30"/>
  <c r="U58" i="30"/>
  <c r="T58" i="30"/>
  <c r="N58" i="31" s="1"/>
  <c r="M58" i="30"/>
  <c r="X57" i="30"/>
  <c r="U57" i="30"/>
  <c r="T57" i="30"/>
  <c r="N57" i="31" s="1"/>
  <c r="M57" i="30"/>
  <c r="U56" i="30"/>
  <c r="M56" i="30"/>
  <c r="Q56" i="30" s="1"/>
  <c r="S53" i="30"/>
  <c r="R53" i="30"/>
  <c r="P53" i="30"/>
  <c r="O53" i="30"/>
  <c r="L53" i="30"/>
  <c r="K53" i="30"/>
  <c r="J53" i="30"/>
  <c r="I53" i="30"/>
  <c r="H53" i="30"/>
  <c r="U52" i="30"/>
  <c r="M52" i="30"/>
  <c r="Q52" i="30" s="1"/>
  <c r="U51" i="30"/>
  <c r="M51" i="30"/>
  <c r="U50" i="30"/>
  <c r="M50" i="30"/>
  <c r="Q50" i="30" s="1"/>
  <c r="X49" i="30"/>
  <c r="U49" i="30"/>
  <c r="T49" i="30"/>
  <c r="N49" i="31" s="1"/>
  <c r="M49" i="30"/>
  <c r="X48" i="30"/>
  <c r="U48" i="30"/>
  <c r="T48" i="30"/>
  <c r="N48" i="31" s="1"/>
  <c r="M48" i="30"/>
  <c r="X47" i="30"/>
  <c r="U47" i="30"/>
  <c r="T47" i="30"/>
  <c r="N47" i="31" s="1"/>
  <c r="M47" i="30"/>
  <c r="X46" i="30"/>
  <c r="U46" i="30"/>
  <c r="T46" i="30"/>
  <c r="N46" i="31" s="1"/>
  <c r="M46" i="30"/>
  <c r="S43" i="30"/>
  <c r="R43" i="30"/>
  <c r="P43" i="30"/>
  <c r="O43" i="30"/>
  <c r="L43" i="30"/>
  <c r="K43" i="30"/>
  <c r="J43" i="30"/>
  <c r="I43" i="30"/>
  <c r="H43" i="30"/>
  <c r="U42" i="30"/>
  <c r="M42" i="30"/>
  <c r="E42" i="30"/>
  <c r="U41" i="30"/>
  <c r="M41" i="30"/>
  <c r="E41" i="30"/>
  <c r="U40" i="30"/>
  <c r="M40" i="30"/>
  <c r="Q40" i="30" s="1"/>
  <c r="U39" i="30"/>
  <c r="M39" i="30"/>
  <c r="Q39" i="30" s="1"/>
  <c r="X39" i="30" s="1"/>
  <c r="U38" i="30"/>
  <c r="M38" i="30"/>
  <c r="S35" i="30"/>
  <c r="R35" i="30"/>
  <c r="P35" i="30"/>
  <c r="O35" i="30"/>
  <c r="L35" i="30"/>
  <c r="I35" i="30"/>
  <c r="H35" i="30"/>
  <c r="U34" i="30"/>
  <c r="U33" i="30"/>
  <c r="Q33" i="30"/>
  <c r="M33" i="30"/>
  <c r="M35" i="30" s="1"/>
  <c r="S30" i="30"/>
  <c r="R30" i="30"/>
  <c r="P30" i="30"/>
  <c r="O30" i="30"/>
  <c r="L30" i="30"/>
  <c r="K30" i="30"/>
  <c r="J30" i="30"/>
  <c r="I30" i="30"/>
  <c r="H30" i="30"/>
  <c r="U29" i="30"/>
  <c r="M29" i="30"/>
  <c r="Q29" i="30" s="1"/>
  <c r="U28" i="30"/>
  <c r="M28" i="30"/>
  <c r="Q28" i="30" s="1"/>
  <c r="U27" i="30"/>
  <c r="M27" i="30"/>
  <c r="X26" i="30"/>
  <c r="U26" i="30"/>
  <c r="T26" i="30"/>
  <c r="N26" i="31" s="1"/>
  <c r="M26" i="30"/>
  <c r="X25" i="30"/>
  <c r="U25" i="30"/>
  <c r="T25" i="30"/>
  <c r="N25" i="31" s="1"/>
  <c r="M25" i="30"/>
  <c r="X24" i="30"/>
  <c r="U24" i="30"/>
  <c r="T24" i="30"/>
  <c r="N24" i="31" s="1"/>
  <c r="M24" i="30"/>
  <c r="X23" i="30"/>
  <c r="U23" i="30"/>
  <c r="T23" i="30"/>
  <c r="N23" i="31" s="1"/>
  <c r="M23" i="30"/>
  <c r="AC21" i="30"/>
  <c r="AC20" i="30"/>
  <c r="S20" i="30"/>
  <c r="R20" i="30"/>
  <c r="P20" i="30"/>
  <c r="O20" i="30"/>
  <c r="L20" i="30"/>
  <c r="K20" i="30"/>
  <c r="J20" i="30"/>
  <c r="I20" i="30"/>
  <c r="H20" i="30"/>
  <c r="U19" i="30"/>
  <c r="M19" i="30"/>
  <c r="E19" i="30"/>
  <c r="AC18" i="30"/>
  <c r="X18" i="30"/>
  <c r="U18" i="30"/>
  <c r="AH17" i="30"/>
  <c r="AC17" i="30"/>
  <c r="U17" i="30"/>
  <c r="M17" i="30"/>
  <c r="E17" i="30"/>
  <c r="U16" i="30"/>
  <c r="M16" i="30"/>
  <c r="E16" i="30"/>
  <c r="X15" i="30"/>
  <c r="U15" i="30"/>
  <c r="T15" i="30"/>
  <c r="N15" i="31" s="1"/>
  <c r="M15" i="30"/>
  <c r="X14" i="30"/>
  <c r="U14" i="30"/>
  <c r="M14" i="30"/>
  <c r="V14" i="30" s="1"/>
  <c r="U13" i="30"/>
  <c r="M13" i="30"/>
  <c r="E13" i="30"/>
  <c r="U12" i="30"/>
  <c r="M12" i="30"/>
  <c r="E12" i="30"/>
  <c r="AC9" i="30"/>
  <c r="V9" i="30"/>
  <c r="U9" i="30"/>
  <c r="T9" i="30"/>
  <c r="N9" i="30"/>
  <c r="D38" i="18"/>
  <c r="C38" i="18"/>
  <c r="B38" i="18"/>
  <c r="D37" i="18"/>
  <c r="C37" i="18"/>
  <c r="B37" i="18"/>
  <c r="D36" i="18"/>
  <c r="C36" i="18"/>
  <c r="B36" i="18"/>
  <c r="D35" i="18"/>
  <c r="C35" i="18"/>
  <c r="B35" i="18"/>
  <c r="D34" i="18"/>
  <c r="C34" i="18"/>
  <c r="B34" i="18"/>
  <c r="D33" i="18"/>
  <c r="C33" i="18"/>
  <c r="B33" i="18"/>
  <c r="D32" i="18"/>
  <c r="C32" i="18"/>
  <c r="B32" i="18"/>
  <c r="D31" i="18"/>
  <c r="C31" i="18"/>
  <c r="B31" i="18"/>
  <c r="D26" i="18"/>
  <c r="C26" i="18"/>
  <c r="B26" i="18"/>
  <c r="D14" i="18"/>
  <c r="C14" i="18"/>
  <c r="B14" i="18"/>
  <c r="H26" i="23"/>
  <c r="H24" i="23"/>
  <c r="H11" i="23"/>
  <c r="H9" i="23"/>
  <c r="M7" i="23"/>
  <c r="L7" i="23"/>
  <c r="L11" i="23" s="1"/>
  <c r="K7" i="23"/>
  <c r="J7" i="23"/>
  <c r="J11" i="23" s="1"/>
  <c r="I7" i="23"/>
  <c r="I9" i="23" s="1"/>
  <c r="G7" i="23"/>
  <c r="G11" i="23" s="1"/>
  <c r="F7" i="23"/>
  <c r="F11" i="23" s="1"/>
  <c r="E7" i="23"/>
  <c r="E11" i="23" s="1"/>
  <c r="D7" i="23"/>
  <c r="D11" i="23" s="1"/>
  <c r="C7" i="23"/>
  <c r="C11" i="23" s="1"/>
  <c r="B7" i="23"/>
  <c r="D31" i="17"/>
  <c r="K136" i="13"/>
  <c r="J136" i="13"/>
  <c r="H136" i="13"/>
  <c r="G136" i="13"/>
  <c r="C136" i="13"/>
  <c r="K135" i="13"/>
  <c r="J135" i="13"/>
  <c r="H135" i="13"/>
  <c r="G135" i="13"/>
  <c r="C135" i="13"/>
  <c r="K134" i="13"/>
  <c r="J134" i="13"/>
  <c r="I134" i="13"/>
  <c r="I137" i="13" s="1"/>
  <c r="H134" i="13"/>
  <c r="G134" i="13"/>
  <c r="C134" i="13"/>
  <c r="C133" i="13"/>
  <c r="K130" i="13"/>
  <c r="J130" i="13"/>
  <c r="H130" i="13"/>
  <c r="G130" i="13"/>
  <c r="C130" i="13"/>
  <c r="K129" i="13"/>
  <c r="J129" i="13"/>
  <c r="H129" i="13"/>
  <c r="G129" i="13"/>
  <c r="C129" i="13"/>
  <c r="K128" i="13"/>
  <c r="J128" i="13"/>
  <c r="I128" i="13"/>
  <c r="H128" i="13"/>
  <c r="G128" i="13"/>
  <c r="C128" i="13"/>
  <c r="K127" i="13"/>
  <c r="H127" i="13"/>
  <c r="G127" i="13"/>
  <c r="C127" i="13"/>
  <c r="K126" i="13"/>
  <c r="H126" i="13"/>
  <c r="G126" i="13"/>
  <c r="C126" i="13"/>
  <c r="G123" i="13"/>
  <c r="K96" i="13"/>
  <c r="J96" i="13"/>
  <c r="I96" i="13"/>
  <c r="H96" i="13"/>
  <c r="G96" i="13"/>
  <c r="K85" i="13"/>
  <c r="H85" i="13"/>
  <c r="G85" i="13"/>
  <c r="L83" i="13"/>
  <c r="I83" i="13"/>
  <c r="I85" i="13" s="1"/>
  <c r="J78" i="13"/>
  <c r="J77" i="13"/>
  <c r="J76" i="13"/>
  <c r="J75" i="13"/>
  <c r="L69" i="13"/>
  <c r="S65" i="13"/>
  <c r="R65" i="13" s="1"/>
  <c r="L64" i="13"/>
  <c r="K58" i="13"/>
  <c r="I58" i="13"/>
  <c r="H58" i="13"/>
  <c r="G58" i="13"/>
  <c r="L48" i="13"/>
  <c r="L47" i="13"/>
  <c r="L41" i="13"/>
  <c r="L38" i="13"/>
  <c r="L37" i="13"/>
  <c r="J37" i="13"/>
  <c r="L36" i="13"/>
  <c r="J36" i="13"/>
  <c r="L33" i="13"/>
  <c r="J25" i="13"/>
  <c r="L23" i="13"/>
  <c r="I7" i="13"/>
  <c r="K6" i="13"/>
  <c r="R6" i="13" s="1"/>
  <c r="H6" i="13"/>
  <c r="P6" i="13" s="1"/>
  <c r="G6" i="13"/>
  <c r="O6" i="13" s="1"/>
  <c r="C3" i="13"/>
  <c r="F1620" i="41"/>
  <c r="F1619" i="41"/>
  <c r="F1618" i="41"/>
  <c r="F1617" i="41"/>
  <c r="F1616" i="41"/>
  <c r="F1615" i="41"/>
  <c r="F1614" i="41"/>
  <c r="F1613" i="41"/>
  <c r="F1612" i="41"/>
  <c r="F1611" i="41"/>
  <c r="F1610" i="41"/>
  <c r="F1609" i="41"/>
  <c r="F1608" i="41"/>
  <c r="F1607" i="41"/>
  <c r="F1606" i="41"/>
  <c r="F1605" i="41"/>
  <c r="F1604" i="41"/>
  <c r="F1603" i="41"/>
  <c r="F1602" i="41"/>
  <c r="F1601" i="41"/>
  <c r="F1600" i="41"/>
  <c r="F1599" i="41"/>
  <c r="F1598" i="41"/>
  <c r="F1597" i="41"/>
  <c r="F1596" i="41"/>
  <c r="F1595" i="41"/>
  <c r="F1594" i="41"/>
  <c r="F1593" i="41"/>
  <c r="F1592" i="41"/>
  <c r="F1591" i="41"/>
  <c r="F1590" i="41"/>
  <c r="F1589" i="41"/>
  <c r="F1588" i="41"/>
  <c r="F1587" i="41"/>
  <c r="F1586" i="41"/>
  <c r="F1585" i="41"/>
  <c r="F1584" i="41"/>
  <c r="F1583" i="41"/>
  <c r="F1582" i="41"/>
  <c r="F1581" i="41"/>
  <c r="F1580" i="41"/>
  <c r="F1579" i="41"/>
  <c r="F1578" i="41"/>
  <c r="F1577" i="41"/>
  <c r="F1576" i="41"/>
  <c r="F1575" i="41"/>
  <c r="F1574" i="41"/>
  <c r="F1573" i="41"/>
  <c r="F1572" i="41"/>
  <c r="F1571" i="41"/>
  <c r="F1570" i="41"/>
  <c r="F1569" i="41"/>
  <c r="F1568" i="41"/>
  <c r="F1567" i="41"/>
  <c r="F1566" i="41"/>
  <c r="F1565" i="41"/>
  <c r="F1564" i="41"/>
  <c r="F1563" i="41"/>
  <c r="F1562" i="41"/>
  <c r="F1561" i="41"/>
  <c r="F1560" i="41"/>
  <c r="F1559" i="41"/>
  <c r="F1558" i="41"/>
  <c r="F1557" i="41"/>
  <c r="F1556" i="41"/>
  <c r="F1555" i="41"/>
  <c r="F1554" i="41"/>
  <c r="F1553" i="41"/>
  <c r="F1552" i="41"/>
  <c r="F1551" i="41"/>
  <c r="F1550" i="41"/>
  <c r="F1549" i="41"/>
  <c r="F1548" i="41"/>
  <c r="F1547" i="41"/>
  <c r="F1546" i="41"/>
  <c r="F1545" i="41"/>
  <c r="F1544" i="41"/>
  <c r="F1543" i="41"/>
  <c r="F1542" i="41"/>
  <c r="F1541" i="41"/>
  <c r="F1540" i="41"/>
  <c r="F1539" i="41"/>
  <c r="F1538" i="41"/>
  <c r="F1537" i="41"/>
  <c r="F1536" i="41"/>
  <c r="F1535" i="41"/>
  <c r="F1534" i="41"/>
  <c r="F1533" i="41"/>
  <c r="F1532" i="41"/>
  <c r="F1531" i="41"/>
  <c r="F1530" i="41"/>
  <c r="F1529" i="41"/>
  <c r="F1528" i="41"/>
  <c r="F1527" i="41"/>
  <c r="F1526" i="41"/>
  <c r="F1525" i="41"/>
  <c r="F1524" i="41"/>
  <c r="F1523" i="41"/>
  <c r="F1522" i="41"/>
  <c r="F1521" i="41"/>
  <c r="F1520" i="41"/>
  <c r="F1519" i="41"/>
  <c r="F1518" i="41"/>
  <c r="F1517" i="41"/>
  <c r="F1516" i="41"/>
  <c r="F1515" i="41"/>
  <c r="F1514" i="41"/>
  <c r="F1513" i="41"/>
  <c r="F1512" i="41"/>
  <c r="F1511" i="41"/>
  <c r="F1510" i="41"/>
  <c r="F1509" i="41"/>
  <c r="F1508" i="41"/>
  <c r="F1507" i="41"/>
  <c r="F1506" i="41"/>
  <c r="F1505" i="41"/>
  <c r="F1504" i="41"/>
  <c r="F1503" i="41"/>
  <c r="F1502" i="41"/>
  <c r="F1501" i="41"/>
  <c r="F1500" i="41"/>
  <c r="F1499" i="41"/>
  <c r="F1498" i="41"/>
  <c r="F1497" i="41"/>
  <c r="F1496" i="41"/>
  <c r="F1495" i="41"/>
  <c r="F1494" i="41"/>
  <c r="F1493" i="41"/>
  <c r="F1492" i="41"/>
  <c r="F1491" i="41"/>
  <c r="F1490" i="41"/>
  <c r="F1489" i="41"/>
  <c r="F1488" i="41"/>
  <c r="F1487" i="41"/>
  <c r="F1486" i="41"/>
  <c r="F1485" i="41"/>
  <c r="F1484" i="41"/>
  <c r="F1483" i="41"/>
  <c r="F1482" i="41"/>
  <c r="F1481" i="41"/>
  <c r="F1480" i="41"/>
  <c r="F1479" i="41"/>
  <c r="F1478" i="41"/>
  <c r="F1477" i="41"/>
  <c r="F1476" i="41"/>
  <c r="F1475" i="41"/>
  <c r="F1474" i="41"/>
  <c r="F1473" i="41"/>
  <c r="F1472" i="41"/>
  <c r="F1471" i="41"/>
  <c r="F1470" i="41"/>
  <c r="F1469" i="41"/>
  <c r="F1468" i="41"/>
  <c r="F1467" i="41"/>
  <c r="F1466" i="41"/>
  <c r="F1465" i="41"/>
  <c r="F1464" i="41"/>
  <c r="F1463" i="41"/>
  <c r="F1462" i="41"/>
  <c r="F1461" i="41"/>
  <c r="F1460" i="41"/>
  <c r="F1459" i="41"/>
  <c r="F1458" i="41"/>
  <c r="F1457" i="41"/>
  <c r="F1456" i="41"/>
  <c r="F1455" i="41"/>
  <c r="F1454" i="41"/>
  <c r="F1453" i="41"/>
  <c r="F1452" i="41"/>
  <c r="F1451" i="41"/>
  <c r="F1450" i="41"/>
  <c r="F1449" i="41"/>
  <c r="F1448" i="41"/>
  <c r="F1447" i="41"/>
  <c r="F1446" i="41"/>
  <c r="F1445" i="41"/>
  <c r="F1444" i="41"/>
  <c r="F1443" i="41"/>
  <c r="F1442" i="41"/>
  <c r="F1441" i="41"/>
  <c r="F1440" i="41"/>
  <c r="F1439" i="41"/>
  <c r="F1438" i="41"/>
  <c r="F1437" i="41"/>
  <c r="F1436" i="41"/>
  <c r="F1435" i="41"/>
  <c r="F1434" i="41"/>
  <c r="F1433" i="41"/>
  <c r="F1432" i="41"/>
  <c r="F1431" i="41"/>
  <c r="F1430" i="41"/>
  <c r="F1429" i="41"/>
  <c r="F1428" i="41"/>
  <c r="F1427" i="41"/>
  <c r="F1426" i="41"/>
  <c r="F1425" i="41"/>
  <c r="F1424" i="41"/>
  <c r="F1423" i="41"/>
  <c r="F1422" i="41"/>
  <c r="F1421" i="41"/>
  <c r="F1420" i="41"/>
  <c r="F1419" i="41"/>
  <c r="F1418" i="41"/>
  <c r="F1417" i="41"/>
  <c r="F1416" i="41"/>
  <c r="F1415" i="41"/>
  <c r="F1414" i="41"/>
  <c r="F1413" i="41"/>
  <c r="F1412" i="41"/>
  <c r="F1411" i="41"/>
  <c r="F1410" i="41"/>
  <c r="F1409" i="41"/>
  <c r="F1408" i="41"/>
  <c r="F1407" i="41"/>
  <c r="F1406" i="41"/>
  <c r="F1405" i="41"/>
  <c r="F1404" i="41"/>
  <c r="F1403" i="41"/>
  <c r="F1402" i="41"/>
  <c r="F1401" i="41"/>
  <c r="F1400" i="41"/>
  <c r="F1399" i="41"/>
  <c r="F1398" i="41"/>
  <c r="F1397" i="41"/>
  <c r="F1396" i="41"/>
  <c r="F1395" i="41"/>
  <c r="F1394" i="41"/>
  <c r="F1393" i="41"/>
  <c r="F1392" i="41"/>
  <c r="F1391" i="41"/>
  <c r="F1390" i="41"/>
  <c r="F1389" i="41"/>
  <c r="F1388" i="41"/>
  <c r="F1387" i="41"/>
  <c r="F1386" i="41"/>
  <c r="F1385" i="41"/>
  <c r="F1384" i="41"/>
  <c r="F1383" i="41"/>
  <c r="F1382" i="41"/>
  <c r="F1381" i="41"/>
  <c r="F1380" i="41"/>
  <c r="F1379" i="41"/>
  <c r="F1378" i="41"/>
  <c r="F1377" i="41"/>
  <c r="F1376" i="41"/>
  <c r="F1375" i="41"/>
  <c r="F1374" i="41"/>
  <c r="F1373" i="41"/>
  <c r="F1372" i="41"/>
  <c r="F1371" i="41"/>
  <c r="F1370" i="41"/>
  <c r="F1369" i="41"/>
  <c r="F1368" i="41"/>
  <c r="F1367" i="41"/>
  <c r="F1366" i="41"/>
  <c r="F1365" i="41"/>
  <c r="F1364" i="41"/>
  <c r="F1363" i="41"/>
  <c r="F1362" i="41"/>
  <c r="F1361" i="41"/>
  <c r="F1360" i="41"/>
  <c r="F1359" i="41"/>
  <c r="F1358" i="41"/>
  <c r="F1357" i="41"/>
  <c r="F1356" i="41"/>
  <c r="F1355" i="41"/>
  <c r="F1354" i="41"/>
  <c r="F1353" i="41"/>
  <c r="F1352" i="41"/>
  <c r="F1351" i="41"/>
  <c r="F1350" i="41"/>
  <c r="F1349" i="41"/>
  <c r="F1348" i="41"/>
  <c r="F1347" i="41"/>
  <c r="F1346" i="41"/>
  <c r="F1345" i="41"/>
  <c r="F1344" i="41"/>
  <c r="F1343" i="41"/>
  <c r="F1342" i="41"/>
  <c r="F1341" i="41"/>
  <c r="F1340" i="41"/>
  <c r="F1339" i="41"/>
  <c r="F1338" i="41"/>
  <c r="F1337" i="41"/>
  <c r="F1336" i="41"/>
  <c r="F1335" i="41"/>
  <c r="F1334" i="41"/>
  <c r="F1333" i="41"/>
  <c r="F1332" i="41"/>
  <c r="F1331" i="41"/>
  <c r="F1330" i="41"/>
  <c r="F1329" i="41"/>
  <c r="F1328" i="41"/>
  <c r="F1327" i="41"/>
  <c r="F1326" i="41"/>
  <c r="F1325" i="41"/>
  <c r="F1324" i="41"/>
  <c r="F1323" i="41"/>
  <c r="F1322" i="41"/>
  <c r="F1321" i="41"/>
  <c r="F1320" i="41"/>
  <c r="F1319" i="41"/>
  <c r="F1318" i="41"/>
  <c r="F1317" i="41"/>
  <c r="F1316" i="41"/>
  <c r="F1315" i="41"/>
  <c r="F1314" i="41"/>
  <c r="F1313" i="41"/>
  <c r="F1312" i="41"/>
  <c r="F1311" i="41"/>
  <c r="I1310" i="41"/>
  <c r="F1310" i="41"/>
  <c r="I1309" i="41"/>
  <c r="F1309" i="41"/>
  <c r="I1308" i="41"/>
  <c r="F1308" i="41"/>
  <c r="I1307" i="41"/>
  <c r="F1307" i="41"/>
  <c r="I1306" i="41"/>
  <c r="F1306" i="41"/>
  <c r="I1305" i="41"/>
  <c r="F1305" i="41"/>
  <c r="I1304" i="41"/>
  <c r="F1304" i="41"/>
  <c r="I1303" i="41"/>
  <c r="F1303" i="41"/>
  <c r="I1302" i="41"/>
  <c r="F1302" i="41"/>
  <c r="I1301" i="41"/>
  <c r="F1301" i="41"/>
  <c r="I1300" i="41"/>
  <c r="F1300" i="41"/>
  <c r="I1299" i="41"/>
  <c r="F1299" i="41"/>
  <c r="I1298" i="41"/>
  <c r="F1298" i="41"/>
  <c r="I1297" i="41"/>
  <c r="F1297" i="41"/>
  <c r="I1296" i="41"/>
  <c r="F1296" i="41"/>
  <c r="I1295" i="41"/>
  <c r="F1295" i="41"/>
  <c r="I1294" i="41"/>
  <c r="F1294" i="41"/>
  <c r="I1293" i="41"/>
  <c r="F1293" i="41"/>
  <c r="I1292" i="41"/>
  <c r="F1292" i="41"/>
  <c r="I1291" i="41"/>
  <c r="F1291" i="41"/>
  <c r="I1290" i="41"/>
  <c r="F1290" i="41"/>
  <c r="I1289" i="41"/>
  <c r="E1289" i="41"/>
  <c r="F1289" i="41" s="1"/>
  <c r="I1288" i="41"/>
  <c r="E1288" i="41"/>
  <c r="F1288" i="41" s="1"/>
  <c r="I1287" i="41"/>
  <c r="E1287" i="41"/>
  <c r="F1287" i="41" s="1"/>
  <c r="I1286" i="41"/>
  <c r="E1286" i="41"/>
  <c r="F1286" i="41" s="1"/>
  <c r="I1285" i="41"/>
  <c r="E1285" i="41"/>
  <c r="F1285" i="41" s="1"/>
  <c r="I1284" i="41"/>
  <c r="E1284" i="41"/>
  <c r="F1284" i="41" s="1"/>
  <c r="I1283" i="41"/>
  <c r="E1283" i="41"/>
  <c r="F1283" i="41" s="1"/>
  <c r="I1282" i="41"/>
  <c r="E1282" i="41"/>
  <c r="F1282" i="41" s="1"/>
  <c r="I1281" i="41"/>
  <c r="E1281" i="41"/>
  <c r="F1281" i="41" s="1"/>
  <c r="J1280" i="41"/>
  <c r="I1280" i="41"/>
  <c r="E1280" i="41"/>
  <c r="F1280" i="41" s="1"/>
  <c r="J1279" i="41"/>
  <c r="I1279" i="41"/>
  <c r="E1279" i="41"/>
  <c r="F1279" i="41" s="1"/>
  <c r="J1278" i="41"/>
  <c r="I1278" i="41"/>
  <c r="E1278" i="41"/>
  <c r="F1278" i="41" s="1"/>
  <c r="J1277" i="41"/>
  <c r="I1277" i="41"/>
  <c r="E1277" i="41"/>
  <c r="F1277" i="41" s="1"/>
  <c r="J1276" i="41"/>
  <c r="I1276" i="41"/>
  <c r="E1276" i="41"/>
  <c r="F1276" i="41" s="1"/>
  <c r="J1275" i="41"/>
  <c r="I1275" i="41"/>
  <c r="E1275" i="41"/>
  <c r="F1275" i="41" s="1"/>
  <c r="J1274" i="41"/>
  <c r="I1274" i="41"/>
  <c r="E1274" i="41"/>
  <c r="F1274" i="41" s="1"/>
  <c r="J1273" i="41"/>
  <c r="I1273" i="41"/>
  <c r="E1273" i="41"/>
  <c r="F1273" i="41" s="1"/>
  <c r="J1272" i="41"/>
  <c r="I1272" i="41"/>
  <c r="E1272" i="41"/>
  <c r="F1272" i="41" s="1"/>
  <c r="J1271" i="41"/>
  <c r="I1271" i="41"/>
  <c r="E1271" i="41"/>
  <c r="F1271" i="41" s="1"/>
  <c r="J1270" i="41"/>
  <c r="I1270" i="41"/>
  <c r="E1270" i="41"/>
  <c r="F1270" i="41" s="1"/>
  <c r="J1269" i="41"/>
  <c r="I1269" i="41"/>
  <c r="F1269" i="41"/>
  <c r="E1269" i="41"/>
  <c r="J1268" i="41"/>
  <c r="I1268" i="41"/>
  <c r="E1268" i="41"/>
  <c r="F1268" i="41" s="1"/>
  <c r="J1267" i="41"/>
  <c r="I1267" i="41"/>
  <c r="E1267" i="41"/>
  <c r="F1267" i="41" s="1"/>
  <c r="J1266" i="41"/>
  <c r="I1266" i="41"/>
  <c r="E1266" i="41"/>
  <c r="F1266" i="41" s="1"/>
  <c r="J1265" i="41"/>
  <c r="I1265" i="41"/>
  <c r="E1265" i="41"/>
  <c r="F1265" i="41" s="1"/>
  <c r="J1264" i="41"/>
  <c r="I1264" i="41"/>
  <c r="E1264" i="41"/>
  <c r="F1264" i="41" s="1"/>
  <c r="J1263" i="41"/>
  <c r="I1263" i="41"/>
  <c r="E1263" i="41"/>
  <c r="F1263" i="41" s="1"/>
  <c r="J1262" i="41"/>
  <c r="I1262" i="41"/>
  <c r="E1262" i="41"/>
  <c r="F1262" i="41" s="1"/>
  <c r="J1261" i="41"/>
  <c r="I1261" i="41"/>
  <c r="E1261" i="41"/>
  <c r="F1261" i="41" s="1"/>
  <c r="J1260" i="41"/>
  <c r="I1260" i="41"/>
  <c r="E1260" i="41"/>
  <c r="F1260" i="41" s="1"/>
  <c r="J1259" i="41"/>
  <c r="I1259" i="41"/>
  <c r="E1259" i="41"/>
  <c r="F1259" i="41" s="1"/>
  <c r="J1258" i="41"/>
  <c r="I1258" i="41"/>
  <c r="E1258" i="41"/>
  <c r="F1258" i="41" s="1"/>
  <c r="J1257" i="41"/>
  <c r="I1257" i="41"/>
  <c r="E1257" i="41"/>
  <c r="F1257" i="41" s="1"/>
  <c r="J1256" i="41"/>
  <c r="I1256" i="41"/>
  <c r="E1256" i="41"/>
  <c r="F1256" i="41" s="1"/>
  <c r="J1255" i="41"/>
  <c r="I1255" i="41"/>
  <c r="E1255" i="41"/>
  <c r="F1255" i="41" s="1"/>
  <c r="J1254" i="41"/>
  <c r="I1254" i="41"/>
  <c r="E1254" i="41"/>
  <c r="F1254" i="41" s="1"/>
  <c r="J1253" i="41"/>
  <c r="I1253" i="41"/>
  <c r="E1253" i="41"/>
  <c r="F1253" i="41" s="1"/>
  <c r="J1252" i="41"/>
  <c r="I1252" i="41"/>
  <c r="E1252" i="41"/>
  <c r="F1252" i="41" s="1"/>
  <c r="J1251" i="41"/>
  <c r="I1251" i="41"/>
  <c r="E1251" i="41"/>
  <c r="F1251" i="41" s="1"/>
  <c r="J1250" i="41"/>
  <c r="I1250" i="41"/>
  <c r="E1250" i="41"/>
  <c r="F1250" i="41" s="1"/>
  <c r="J1249" i="41"/>
  <c r="I1249" i="41"/>
  <c r="E1249" i="41"/>
  <c r="F1249" i="41" s="1"/>
  <c r="J1248" i="41"/>
  <c r="I1248" i="41"/>
  <c r="E1248" i="41"/>
  <c r="F1248" i="41" s="1"/>
  <c r="J1247" i="41"/>
  <c r="I1247" i="41"/>
  <c r="E1247" i="41"/>
  <c r="F1247" i="41" s="1"/>
  <c r="J1246" i="41"/>
  <c r="I1246" i="41"/>
  <c r="E1246" i="41"/>
  <c r="F1246" i="41" s="1"/>
  <c r="J1245" i="41"/>
  <c r="I1245" i="41"/>
  <c r="F1245" i="41"/>
  <c r="E1245" i="41"/>
  <c r="J1244" i="41"/>
  <c r="I1244" i="41"/>
  <c r="E1244" i="41"/>
  <c r="F1244" i="41" s="1"/>
  <c r="J1243" i="41"/>
  <c r="I1243" i="41"/>
  <c r="E1243" i="41"/>
  <c r="F1243" i="41" s="1"/>
  <c r="J1242" i="41"/>
  <c r="I1242" i="41"/>
  <c r="E1242" i="41"/>
  <c r="F1242" i="41" s="1"/>
  <c r="J1241" i="41"/>
  <c r="I1241" i="41"/>
  <c r="E1241" i="41"/>
  <c r="F1241" i="41" s="1"/>
  <c r="J1240" i="41"/>
  <c r="I1240" i="41"/>
  <c r="E1240" i="41"/>
  <c r="F1240" i="41" s="1"/>
  <c r="J1239" i="41"/>
  <c r="I1239" i="41"/>
  <c r="E1239" i="41"/>
  <c r="F1239" i="41" s="1"/>
  <c r="J1238" i="41"/>
  <c r="I1238" i="41"/>
  <c r="E1238" i="41"/>
  <c r="F1238" i="41" s="1"/>
  <c r="J1237" i="41"/>
  <c r="I1237" i="41"/>
  <c r="E1237" i="41"/>
  <c r="F1237" i="41" s="1"/>
  <c r="J1236" i="41"/>
  <c r="I1236" i="41"/>
  <c r="E1236" i="41"/>
  <c r="F1236" i="41" s="1"/>
  <c r="J1235" i="41"/>
  <c r="I1235" i="41"/>
  <c r="E1235" i="41"/>
  <c r="F1235" i="41" s="1"/>
  <c r="J1234" i="41"/>
  <c r="I1234" i="41"/>
  <c r="E1234" i="41"/>
  <c r="F1234" i="41" s="1"/>
  <c r="J1233" i="41"/>
  <c r="I1233" i="41"/>
  <c r="E1233" i="41"/>
  <c r="F1233" i="41" s="1"/>
  <c r="J1232" i="41"/>
  <c r="I1232" i="41"/>
  <c r="E1232" i="41"/>
  <c r="F1232" i="41" s="1"/>
  <c r="J1231" i="41"/>
  <c r="I1231" i="41"/>
  <c r="E1231" i="41"/>
  <c r="F1231" i="41" s="1"/>
  <c r="J1230" i="41"/>
  <c r="I1230" i="41"/>
  <c r="E1230" i="41"/>
  <c r="F1230" i="41" s="1"/>
  <c r="J1229" i="41"/>
  <c r="I1229" i="41"/>
  <c r="E1229" i="41"/>
  <c r="F1229" i="41" s="1"/>
  <c r="J1228" i="41"/>
  <c r="I1228" i="41"/>
  <c r="E1228" i="41"/>
  <c r="F1228" i="41" s="1"/>
  <c r="J1227" i="41"/>
  <c r="I1227" i="41"/>
  <c r="E1227" i="41"/>
  <c r="F1227" i="41" s="1"/>
  <c r="J1226" i="41"/>
  <c r="I1226" i="41"/>
  <c r="E1226" i="41"/>
  <c r="F1226" i="41" s="1"/>
  <c r="J1225" i="41"/>
  <c r="I1225" i="41"/>
  <c r="E1225" i="41"/>
  <c r="F1225" i="41" s="1"/>
  <c r="J1224" i="41"/>
  <c r="I1224" i="41"/>
  <c r="E1224" i="41"/>
  <c r="F1224" i="41" s="1"/>
  <c r="J1223" i="41"/>
  <c r="I1223" i="41"/>
  <c r="E1223" i="41"/>
  <c r="F1223" i="41" s="1"/>
  <c r="J1222" i="41"/>
  <c r="I1222" i="41"/>
  <c r="E1222" i="41"/>
  <c r="F1222" i="41" s="1"/>
  <c r="J1221" i="41"/>
  <c r="I1221" i="41"/>
  <c r="E1221" i="41"/>
  <c r="F1221" i="41" s="1"/>
  <c r="J1220" i="41"/>
  <c r="I1220" i="41"/>
  <c r="E1220" i="41"/>
  <c r="F1220" i="41" s="1"/>
  <c r="J1219" i="41"/>
  <c r="I1219" i="41"/>
  <c r="E1219" i="41"/>
  <c r="F1219" i="41" s="1"/>
  <c r="J1218" i="41"/>
  <c r="I1218" i="41"/>
  <c r="E1218" i="41"/>
  <c r="F1218" i="41" s="1"/>
  <c r="J1217" i="41"/>
  <c r="I1217" i="41"/>
  <c r="E1217" i="41"/>
  <c r="F1217" i="41" s="1"/>
  <c r="J1216" i="41"/>
  <c r="I1216" i="41"/>
  <c r="E1216" i="41"/>
  <c r="F1216" i="41" s="1"/>
  <c r="J1215" i="41"/>
  <c r="I1215" i="41"/>
  <c r="E1215" i="41"/>
  <c r="F1215" i="41" s="1"/>
  <c r="J1214" i="41"/>
  <c r="I1214" i="41"/>
  <c r="E1214" i="41"/>
  <c r="F1214" i="41" s="1"/>
  <c r="J1213" i="41"/>
  <c r="I1213" i="41"/>
  <c r="F1213" i="41"/>
  <c r="E1213" i="41"/>
  <c r="J1212" i="41"/>
  <c r="I1212" i="41"/>
  <c r="E1212" i="41"/>
  <c r="F1212" i="41" s="1"/>
  <c r="J1211" i="41"/>
  <c r="I1211" i="41"/>
  <c r="E1211" i="41"/>
  <c r="F1211" i="41" s="1"/>
  <c r="J1210" i="41"/>
  <c r="I1210" i="41"/>
  <c r="E1210" i="41"/>
  <c r="F1210" i="41" s="1"/>
  <c r="J1209" i="41"/>
  <c r="I1209" i="41"/>
  <c r="E1209" i="41"/>
  <c r="F1209" i="41" s="1"/>
  <c r="J1208" i="41"/>
  <c r="I1208" i="41"/>
  <c r="E1208" i="41"/>
  <c r="F1208" i="41" s="1"/>
  <c r="J1207" i="41"/>
  <c r="I1207" i="41"/>
  <c r="E1207" i="41"/>
  <c r="F1207" i="41" s="1"/>
  <c r="J1206" i="41"/>
  <c r="I1206" i="41"/>
  <c r="E1206" i="41"/>
  <c r="F1206" i="41" s="1"/>
  <c r="J1205" i="41"/>
  <c r="I1205" i="41"/>
  <c r="E1205" i="41"/>
  <c r="F1205" i="41" s="1"/>
  <c r="J1204" i="41"/>
  <c r="I1204" i="41"/>
  <c r="E1204" i="41"/>
  <c r="F1204" i="41" s="1"/>
  <c r="J1203" i="41"/>
  <c r="I1203" i="41"/>
  <c r="E1203" i="41"/>
  <c r="F1203" i="41" s="1"/>
  <c r="J1202" i="41"/>
  <c r="I1202" i="41"/>
  <c r="E1202" i="41"/>
  <c r="F1202" i="41" s="1"/>
  <c r="J1201" i="41"/>
  <c r="I1201" i="41"/>
  <c r="E1201" i="41"/>
  <c r="F1201" i="41" s="1"/>
  <c r="J1200" i="41"/>
  <c r="I1200" i="41"/>
  <c r="E1200" i="41"/>
  <c r="F1200" i="41" s="1"/>
  <c r="J1199" i="41"/>
  <c r="I1199" i="41"/>
  <c r="E1199" i="41"/>
  <c r="F1199" i="41" s="1"/>
  <c r="J1198" i="41"/>
  <c r="I1198" i="41"/>
  <c r="E1198" i="41"/>
  <c r="F1198" i="41" s="1"/>
  <c r="J1197" i="41"/>
  <c r="I1197" i="41"/>
  <c r="E1197" i="41"/>
  <c r="F1197" i="41" s="1"/>
  <c r="J1196" i="41"/>
  <c r="I1196" i="41"/>
  <c r="E1196" i="41"/>
  <c r="F1196" i="41" s="1"/>
  <c r="J1195" i="41"/>
  <c r="I1195" i="41"/>
  <c r="E1195" i="41"/>
  <c r="F1195" i="41" s="1"/>
  <c r="J1194" i="41"/>
  <c r="I1194" i="41"/>
  <c r="E1194" i="41"/>
  <c r="F1194" i="41" s="1"/>
  <c r="J1193" i="41"/>
  <c r="I1193" i="41"/>
  <c r="E1193" i="41"/>
  <c r="F1193" i="41" s="1"/>
  <c r="J1192" i="41"/>
  <c r="I1192" i="41"/>
  <c r="E1192" i="41"/>
  <c r="F1192" i="41" s="1"/>
  <c r="J1191" i="41"/>
  <c r="I1191" i="41"/>
  <c r="E1191" i="41"/>
  <c r="F1191" i="41" s="1"/>
  <c r="J1190" i="41"/>
  <c r="I1190" i="41"/>
  <c r="E1190" i="41"/>
  <c r="F1190" i="41" s="1"/>
  <c r="J1189" i="41"/>
  <c r="I1189" i="41"/>
  <c r="E1189" i="41"/>
  <c r="F1189" i="41" s="1"/>
  <c r="J1188" i="41"/>
  <c r="I1188" i="41"/>
  <c r="E1188" i="41"/>
  <c r="F1188" i="41" s="1"/>
  <c r="J1187" i="41"/>
  <c r="I1187" i="41"/>
  <c r="E1187" i="41"/>
  <c r="F1187" i="41" s="1"/>
  <c r="J1186" i="41"/>
  <c r="I1186" i="41"/>
  <c r="E1186" i="41"/>
  <c r="F1186" i="41" s="1"/>
  <c r="J1185" i="41"/>
  <c r="I1185" i="41"/>
  <c r="E1185" i="41"/>
  <c r="F1185" i="41" s="1"/>
  <c r="J1184" i="41"/>
  <c r="I1184" i="41"/>
  <c r="E1184" i="41"/>
  <c r="F1184" i="41" s="1"/>
  <c r="J1183" i="41"/>
  <c r="I1183" i="41"/>
  <c r="E1183" i="41"/>
  <c r="F1183" i="41" s="1"/>
  <c r="J1182" i="41"/>
  <c r="I1182" i="41"/>
  <c r="E1182" i="41"/>
  <c r="F1182" i="41" s="1"/>
  <c r="J1181" i="41"/>
  <c r="I1181" i="41"/>
  <c r="E1181" i="41"/>
  <c r="F1181" i="41" s="1"/>
  <c r="J1180" i="41"/>
  <c r="I1180" i="41"/>
  <c r="E1180" i="41"/>
  <c r="F1180" i="41" s="1"/>
  <c r="J1179" i="41"/>
  <c r="I1179" i="41"/>
  <c r="E1179" i="41"/>
  <c r="F1179" i="41" s="1"/>
  <c r="J1178" i="41"/>
  <c r="I1178" i="41"/>
  <c r="E1178" i="41"/>
  <c r="F1178" i="41" s="1"/>
  <c r="J1177" i="41"/>
  <c r="I1177" i="41"/>
  <c r="E1177" i="41"/>
  <c r="F1177" i="41" s="1"/>
  <c r="J1176" i="41"/>
  <c r="I1176" i="41"/>
  <c r="E1176" i="41"/>
  <c r="F1176" i="41" s="1"/>
  <c r="J1175" i="41"/>
  <c r="I1175" i="41"/>
  <c r="E1175" i="41"/>
  <c r="F1175" i="41" s="1"/>
  <c r="J1174" i="41"/>
  <c r="I1174" i="41"/>
  <c r="E1174" i="41"/>
  <c r="F1174" i="41" s="1"/>
  <c r="J1173" i="41"/>
  <c r="I1173" i="41"/>
  <c r="E1173" i="41"/>
  <c r="F1173" i="41" s="1"/>
  <c r="J1172" i="41"/>
  <c r="I1172" i="41"/>
  <c r="E1172" i="41"/>
  <c r="F1172" i="41" s="1"/>
  <c r="J1171" i="41"/>
  <c r="I1171" i="41"/>
  <c r="E1171" i="41"/>
  <c r="F1171" i="41" s="1"/>
  <c r="J1170" i="41"/>
  <c r="I1170" i="41"/>
  <c r="E1170" i="41"/>
  <c r="F1170" i="41" s="1"/>
  <c r="J1169" i="41"/>
  <c r="I1169" i="41"/>
  <c r="E1169" i="41"/>
  <c r="F1169" i="41" s="1"/>
  <c r="J1168" i="41"/>
  <c r="I1168" i="41"/>
  <c r="E1168" i="41"/>
  <c r="F1168" i="41" s="1"/>
  <c r="J1167" i="41"/>
  <c r="I1167" i="41"/>
  <c r="E1167" i="41"/>
  <c r="F1167" i="41" s="1"/>
  <c r="J1166" i="41"/>
  <c r="I1166" i="41"/>
  <c r="E1166" i="41"/>
  <c r="F1166" i="41" s="1"/>
  <c r="J1165" i="41"/>
  <c r="I1165" i="41"/>
  <c r="F1165" i="41"/>
  <c r="E1165" i="41"/>
  <c r="J1164" i="41"/>
  <c r="I1164" i="41"/>
  <c r="E1164" i="41"/>
  <c r="F1164" i="41" s="1"/>
  <c r="J1163" i="41"/>
  <c r="I1163" i="41"/>
  <c r="E1163" i="41"/>
  <c r="F1163" i="41" s="1"/>
  <c r="J1162" i="41"/>
  <c r="I1162" i="41"/>
  <c r="E1162" i="41"/>
  <c r="F1162" i="41" s="1"/>
  <c r="J1161" i="41"/>
  <c r="I1161" i="41"/>
  <c r="E1161" i="41"/>
  <c r="F1161" i="41" s="1"/>
  <c r="J1160" i="41"/>
  <c r="I1160" i="41"/>
  <c r="E1160" i="41"/>
  <c r="F1160" i="41" s="1"/>
  <c r="J1159" i="41"/>
  <c r="I1159" i="41"/>
  <c r="E1159" i="41"/>
  <c r="F1159" i="41" s="1"/>
  <c r="J1158" i="41"/>
  <c r="I1158" i="41"/>
  <c r="E1158" i="41"/>
  <c r="F1158" i="41" s="1"/>
  <c r="J1157" i="41"/>
  <c r="I1157" i="41"/>
  <c r="E1157" i="41"/>
  <c r="F1157" i="41" s="1"/>
  <c r="J1156" i="41"/>
  <c r="I1156" i="41"/>
  <c r="E1156" i="41"/>
  <c r="F1156" i="41" s="1"/>
  <c r="J1155" i="41"/>
  <c r="I1155" i="41"/>
  <c r="E1155" i="41"/>
  <c r="F1155" i="41" s="1"/>
  <c r="J1154" i="41"/>
  <c r="I1154" i="41"/>
  <c r="E1154" i="41"/>
  <c r="F1154" i="41" s="1"/>
  <c r="J1153" i="41"/>
  <c r="I1153" i="41"/>
  <c r="E1153" i="41"/>
  <c r="F1153" i="41" s="1"/>
  <c r="J1152" i="41"/>
  <c r="I1152" i="41"/>
  <c r="E1152" i="41"/>
  <c r="F1152" i="41" s="1"/>
  <c r="J1151" i="41"/>
  <c r="I1151" i="41"/>
  <c r="E1151" i="41"/>
  <c r="F1151" i="41" s="1"/>
  <c r="J1150" i="41"/>
  <c r="I1150" i="41"/>
  <c r="E1150" i="41"/>
  <c r="F1150" i="41" s="1"/>
  <c r="J1149" i="41"/>
  <c r="I1149" i="41"/>
  <c r="E1149" i="41"/>
  <c r="F1149" i="41" s="1"/>
  <c r="J1148" i="41"/>
  <c r="I1148" i="41"/>
  <c r="E1148" i="41"/>
  <c r="F1148" i="41" s="1"/>
  <c r="J1147" i="41"/>
  <c r="I1147" i="41"/>
  <c r="E1147" i="41"/>
  <c r="F1147" i="41" s="1"/>
  <c r="J1146" i="41"/>
  <c r="I1146" i="41"/>
  <c r="E1146" i="41"/>
  <c r="F1146" i="41" s="1"/>
  <c r="J1145" i="41"/>
  <c r="I1145" i="41"/>
  <c r="E1145" i="41"/>
  <c r="F1145" i="41" s="1"/>
  <c r="J1144" i="41"/>
  <c r="I1144" i="41"/>
  <c r="E1144" i="41"/>
  <c r="F1144" i="41" s="1"/>
  <c r="J1143" i="41"/>
  <c r="I1143" i="41"/>
  <c r="E1143" i="41"/>
  <c r="F1143" i="41" s="1"/>
  <c r="J1142" i="41"/>
  <c r="I1142" i="41"/>
  <c r="E1142" i="41"/>
  <c r="F1142" i="41" s="1"/>
  <c r="J1141" i="41"/>
  <c r="I1141" i="41"/>
  <c r="E1141" i="41"/>
  <c r="F1141" i="41" s="1"/>
  <c r="J1140" i="41"/>
  <c r="I1140" i="41"/>
  <c r="E1140" i="41"/>
  <c r="F1140" i="41" s="1"/>
  <c r="J1139" i="41"/>
  <c r="I1139" i="41"/>
  <c r="E1139" i="41"/>
  <c r="F1139" i="41" s="1"/>
  <c r="J1138" i="41"/>
  <c r="I1138" i="41"/>
  <c r="E1138" i="41"/>
  <c r="F1138" i="41" s="1"/>
  <c r="J1137" i="41"/>
  <c r="I1137" i="41"/>
  <c r="E1137" i="41"/>
  <c r="F1137" i="41" s="1"/>
  <c r="J1136" i="41"/>
  <c r="I1136" i="41"/>
  <c r="E1136" i="41"/>
  <c r="F1136" i="41" s="1"/>
  <c r="J1135" i="41"/>
  <c r="I1135" i="41"/>
  <c r="E1135" i="41"/>
  <c r="F1135" i="41" s="1"/>
  <c r="J1134" i="41"/>
  <c r="I1134" i="41"/>
  <c r="E1134" i="41"/>
  <c r="F1134" i="41" s="1"/>
  <c r="J1133" i="41"/>
  <c r="I1133" i="41"/>
  <c r="E1133" i="41"/>
  <c r="F1133" i="41" s="1"/>
  <c r="J1132" i="41"/>
  <c r="I1132" i="41"/>
  <c r="E1132" i="41"/>
  <c r="F1132" i="41" s="1"/>
  <c r="J1131" i="41"/>
  <c r="I1131" i="41"/>
  <c r="E1131" i="41"/>
  <c r="F1131" i="41" s="1"/>
  <c r="J1130" i="41"/>
  <c r="I1130" i="41"/>
  <c r="E1130" i="41"/>
  <c r="F1130" i="41" s="1"/>
  <c r="J1129" i="41"/>
  <c r="I1129" i="41"/>
  <c r="E1129" i="41"/>
  <c r="F1129" i="41" s="1"/>
  <c r="J1128" i="41"/>
  <c r="I1128" i="41"/>
  <c r="E1128" i="41"/>
  <c r="F1128" i="41" s="1"/>
  <c r="J1127" i="41"/>
  <c r="I1127" i="41"/>
  <c r="E1127" i="41"/>
  <c r="F1127" i="41" s="1"/>
  <c r="J1126" i="41"/>
  <c r="I1126" i="41"/>
  <c r="E1126" i="41"/>
  <c r="F1126" i="41" s="1"/>
  <c r="J1125" i="41"/>
  <c r="I1125" i="41"/>
  <c r="E1125" i="41"/>
  <c r="F1125" i="41" s="1"/>
  <c r="J1124" i="41"/>
  <c r="I1124" i="41"/>
  <c r="E1124" i="41"/>
  <c r="F1124" i="41" s="1"/>
  <c r="J1123" i="41"/>
  <c r="I1123" i="41"/>
  <c r="E1123" i="41"/>
  <c r="F1123" i="41" s="1"/>
  <c r="J1122" i="41"/>
  <c r="I1122" i="41"/>
  <c r="E1122" i="41"/>
  <c r="F1122" i="41" s="1"/>
  <c r="J1121" i="41"/>
  <c r="I1121" i="41"/>
  <c r="E1121" i="41"/>
  <c r="F1121" i="41" s="1"/>
  <c r="J1120" i="41"/>
  <c r="I1120" i="41"/>
  <c r="E1120" i="41"/>
  <c r="F1120" i="41" s="1"/>
  <c r="J1119" i="41"/>
  <c r="I1119" i="41"/>
  <c r="E1119" i="41"/>
  <c r="F1119" i="41" s="1"/>
  <c r="J1118" i="41"/>
  <c r="I1118" i="41"/>
  <c r="H1118" i="41"/>
  <c r="E1118" i="41"/>
  <c r="F1118" i="41" s="1"/>
  <c r="J1117" i="41"/>
  <c r="I1117" i="41"/>
  <c r="H1117" i="41"/>
  <c r="E1117" i="41"/>
  <c r="F1117" i="41" s="1"/>
  <c r="J1116" i="41"/>
  <c r="I1116" i="41"/>
  <c r="H1116" i="41"/>
  <c r="E1116" i="41"/>
  <c r="F1116" i="41" s="1"/>
  <c r="J1115" i="41"/>
  <c r="I1115" i="41"/>
  <c r="H1115" i="41"/>
  <c r="E1115" i="41"/>
  <c r="F1115" i="41" s="1"/>
  <c r="J1114" i="41"/>
  <c r="I1114" i="41"/>
  <c r="H1114" i="41"/>
  <c r="E1114" i="41"/>
  <c r="F1114" i="41" s="1"/>
  <c r="J1113" i="41"/>
  <c r="I1113" i="41"/>
  <c r="H1113" i="41"/>
  <c r="E1113" i="41"/>
  <c r="F1113" i="41" s="1"/>
  <c r="J1112" i="41"/>
  <c r="I1112" i="41"/>
  <c r="H1112" i="41"/>
  <c r="E1112" i="41"/>
  <c r="F1112" i="41" s="1"/>
  <c r="J1111" i="41"/>
  <c r="I1111" i="41"/>
  <c r="H1111" i="41"/>
  <c r="E1111" i="41"/>
  <c r="F1111" i="41" s="1"/>
  <c r="J1110" i="41"/>
  <c r="I1110" i="41"/>
  <c r="H1110" i="41"/>
  <c r="E1110" i="41"/>
  <c r="F1110" i="41" s="1"/>
  <c r="J1109" i="41"/>
  <c r="I1109" i="41"/>
  <c r="H1109" i="41"/>
  <c r="E1109" i="41"/>
  <c r="F1109" i="41" s="1"/>
  <c r="J1108" i="41"/>
  <c r="I1108" i="41"/>
  <c r="H1108" i="41"/>
  <c r="E1108" i="41"/>
  <c r="F1108" i="41" s="1"/>
  <c r="J1107" i="41"/>
  <c r="I1107" i="41"/>
  <c r="H1107" i="41"/>
  <c r="E1107" i="41"/>
  <c r="F1107" i="41" s="1"/>
  <c r="J1106" i="41"/>
  <c r="I1106" i="41"/>
  <c r="H1106" i="41"/>
  <c r="E1106" i="41"/>
  <c r="F1106" i="41" s="1"/>
  <c r="J1105" i="41"/>
  <c r="I1105" i="41"/>
  <c r="H1105" i="41"/>
  <c r="E1105" i="41"/>
  <c r="F1105" i="41" s="1"/>
  <c r="J1104" i="41"/>
  <c r="I1104" i="41"/>
  <c r="H1104" i="41"/>
  <c r="F1104" i="41"/>
  <c r="E1104" i="41"/>
  <c r="J1103" i="41"/>
  <c r="I1103" i="41"/>
  <c r="H1103" i="41"/>
  <c r="E1103" i="41"/>
  <c r="F1103" i="41" s="1"/>
  <c r="J1102" i="41"/>
  <c r="I1102" i="41"/>
  <c r="H1102" i="41"/>
  <c r="E1102" i="41"/>
  <c r="F1102" i="41" s="1"/>
  <c r="J1101" i="41"/>
  <c r="I1101" i="41"/>
  <c r="H1101" i="41"/>
  <c r="E1101" i="41"/>
  <c r="F1101" i="41" s="1"/>
  <c r="J1100" i="41"/>
  <c r="I1100" i="41"/>
  <c r="H1100" i="41"/>
  <c r="E1100" i="41"/>
  <c r="F1100" i="41" s="1"/>
  <c r="J1099" i="41"/>
  <c r="I1099" i="41"/>
  <c r="H1099" i="41"/>
  <c r="E1099" i="41"/>
  <c r="F1099" i="41" s="1"/>
  <c r="J1098" i="41"/>
  <c r="I1098" i="41"/>
  <c r="H1098" i="41"/>
  <c r="E1098" i="41"/>
  <c r="F1098" i="41" s="1"/>
  <c r="J1097" i="41"/>
  <c r="I1097" i="41"/>
  <c r="H1097" i="41"/>
  <c r="E1097" i="41"/>
  <c r="F1097" i="41" s="1"/>
  <c r="J1096" i="41"/>
  <c r="I1096" i="41"/>
  <c r="H1096" i="41"/>
  <c r="E1096" i="41"/>
  <c r="F1096" i="41" s="1"/>
  <c r="J1095" i="41"/>
  <c r="I1095" i="41"/>
  <c r="H1095" i="41"/>
  <c r="E1095" i="41"/>
  <c r="F1095" i="41" s="1"/>
  <c r="J1094" i="41"/>
  <c r="I1094" i="41"/>
  <c r="H1094" i="41"/>
  <c r="E1094" i="41"/>
  <c r="F1094" i="41" s="1"/>
  <c r="J1093" i="41"/>
  <c r="I1093" i="41"/>
  <c r="H1093" i="41"/>
  <c r="E1093" i="41"/>
  <c r="F1093" i="41" s="1"/>
  <c r="J1092" i="41"/>
  <c r="I1092" i="41"/>
  <c r="H1092" i="41"/>
  <c r="E1092" i="41"/>
  <c r="F1092" i="41" s="1"/>
  <c r="J1091" i="41"/>
  <c r="I1091" i="41"/>
  <c r="H1091" i="41"/>
  <c r="E1091" i="41"/>
  <c r="F1091" i="41" s="1"/>
  <c r="J1090" i="41"/>
  <c r="I1090" i="41"/>
  <c r="H1090" i="41"/>
  <c r="E1090" i="41"/>
  <c r="F1090" i="41" s="1"/>
  <c r="J1089" i="41"/>
  <c r="I1089" i="41"/>
  <c r="H1089" i="41"/>
  <c r="E1089" i="41"/>
  <c r="F1089" i="41" s="1"/>
  <c r="J1088" i="41"/>
  <c r="I1088" i="41"/>
  <c r="H1088" i="41"/>
  <c r="E1088" i="41"/>
  <c r="F1088" i="41" s="1"/>
  <c r="J1087" i="41"/>
  <c r="I1087" i="41"/>
  <c r="H1087" i="41"/>
  <c r="E1087" i="41"/>
  <c r="F1087" i="41" s="1"/>
  <c r="J1086" i="41"/>
  <c r="I1086" i="41"/>
  <c r="H1086" i="41"/>
  <c r="F1086" i="41"/>
  <c r="E1086" i="41"/>
  <c r="J1085" i="41"/>
  <c r="I1085" i="41"/>
  <c r="H1085" i="41"/>
  <c r="E1085" i="41"/>
  <c r="F1085" i="41" s="1"/>
  <c r="J1084" i="41"/>
  <c r="I1084" i="41"/>
  <c r="H1084" i="41"/>
  <c r="E1084" i="41"/>
  <c r="F1084" i="41" s="1"/>
  <c r="J1083" i="41"/>
  <c r="I1083" i="41"/>
  <c r="H1083" i="41"/>
  <c r="E1083" i="41"/>
  <c r="F1083" i="41" s="1"/>
  <c r="J1082" i="41"/>
  <c r="I1082" i="41"/>
  <c r="H1082" i="41"/>
  <c r="E1082" i="41"/>
  <c r="F1082" i="41" s="1"/>
  <c r="J1081" i="41"/>
  <c r="I1081" i="41"/>
  <c r="H1081" i="41"/>
  <c r="E1081" i="41"/>
  <c r="F1081" i="41" s="1"/>
  <c r="J1080" i="41"/>
  <c r="I1080" i="41"/>
  <c r="H1080" i="41"/>
  <c r="E1080" i="41"/>
  <c r="F1080" i="41" s="1"/>
  <c r="J1079" i="41"/>
  <c r="I1079" i="41"/>
  <c r="H1079" i="41"/>
  <c r="E1079" i="41"/>
  <c r="F1079" i="41" s="1"/>
  <c r="J1078" i="41"/>
  <c r="I1078" i="41"/>
  <c r="H1078" i="41"/>
  <c r="E1078" i="41"/>
  <c r="F1078" i="41" s="1"/>
  <c r="J1077" i="41"/>
  <c r="I1077" i="41"/>
  <c r="H1077" i="41"/>
  <c r="E1077" i="41"/>
  <c r="F1077" i="41" s="1"/>
  <c r="J1076" i="41"/>
  <c r="I1076" i="41"/>
  <c r="H1076" i="41"/>
  <c r="E1076" i="41"/>
  <c r="F1076" i="41" s="1"/>
  <c r="J1075" i="41"/>
  <c r="I1075" i="41"/>
  <c r="H1075" i="41"/>
  <c r="E1075" i="41"/>
  <c r="F1075" i="41" s="1"/>
  <c r="J1074" i="41"/>
  <c r="I1074" i="41"/>
  <c r="H1074" i="41"/>
  <c r="E1074" i="41"/>
  <c r="F1074" i="41" s="1"/>
  <c r="J1073" i="41"/>
  <c r="I1073" i="41"/>
  <c r="H1073" i="41"/>
  <c r="E1073" i="41"/>
  <c r="F1073" i="41" s="1"/>
  <c r="J1072" i="41"/>
  <c r="I1072" i="41"/>
  <c r="H1072" i="41"/>
  <c r="E1072" i="41"/>
  <c r="F1072" i="41" s="1"/>
  <c r="J1071" i="41"/>
  <c r="I1071" i="41"/>
  <c r="H1071" i="41"/>
  <c r="E1071" i="41"/>
  <c r="F1071" i="41" s="1"/>
  <c r="J1070" i="41"/>
  <c r="I1070" i="41"/>
  <c r="H1070" i="41"/>
  <c r="E1070" i="41"/>
  <c r="F1070" i="41" s="1"/>
  <c r="J1069" i="41"/>
  <c r="I1069" i="41"/>
  <c r="H1069" i="41"/>
  <c r="E1069" i="41"/>
  <c r="F1069" i="41" s="1"/>
  <c r="J1068" i="41"/>
  <c r="I1068" i="41"/>
  <c r="H1068" i="41"/>
  <c r="E1068" i="41"/>
  <c r="F1068" i="41" s="1"/>
  <c r="J1067" i="41"/>
  <c r="I1067" i="41"/>
  <c r="H1067" i="41"/>
  <c r="E1067" i="41"/>
  <c r="F1067" i="41" s="1"/>
  <c r="J1066" i="41"/>
  <c r="I1066" i="41"/>
  <c r="H1066" i="41"/>
  <c r="E1066" i="41"/>
  <c r="F1066" i="41" s="1"/>
  <c r="J1065" i="41"/>
  <c r="I1065" i="41"/>
  <c r="H1065" i="41"/>
  <c r="E1065" i="41"/>
  <c r="F1065" i="41" s="1"/>
  <c r="J1064" i="41"/>
  <c r="I1064" i="41"/>
  <c r="H1064" i="41"/>
  <c r="F1064" i="41"/>
  <c r="E1064" i="41"/>
  <c r="J1063" i="41"/>
  <c r="I1063" i="41"/>
  <c r="H1063" i="41"/>
  <c r="E1063" i="41"/>
  <c r="F1063" i="41" s="1"/>
  <c r="J1062" i="41"/>
  <c r="I1062" i="41"/>
  <c r="H1062" i="41"/>
  <c r="E1062" i="41"/>
  <c r="F1062" i="41" s="1"/>
  <c r="J1061" i="41"/>
  <c r="I1061" i="41"/>
  <c r="H1061" i="41"/>
  <c r="E1061" i="41"/>
  <c r="F1061" i="41" s="1"/>
  <c r="J1060" i="41"/>
  <c r="I1060" i="41"/>
  <c r="H1060" i="41"/>
  <c r="E1060" i="41"/>
  <c r="F1060" i="41" s="1"/>
  <c r="J1059" i="41"/>
  <c r="I1059" i="41"/>
  <c r="H1059" i="41"/>
  <c r="E1059" i="41"/>
  <c r="F1059" i="41" s="1"/>
  <c r="J1058" i="41"/>
  <c r="I1058" i="41"/>
  <c r="H1058" i="41"/>
  <c r="E1058" i="41"/>
  <c r="F1058" i="41" s="1"/>
  <c r="J1057" i="41"/>
  <c r="I1057" i="41"/>
  <c r="H1057" i="41"/>
  <c r="E1057" i="41"/>
  <c r="F1057" i="41" s="1"/>
  <c r="J1056" i="41"/>
  <c r="I1056" i="41"/>
  <c r="H1056" i="41"/>
  <c r="E1056" i="41"/>
  <c r="F1056" i="41" s="1"/>
  <c r="J1055" i="41"/>
  <c r="I1055" i="41"/>
  <c r="H1055" i="41"/>
  <c r="E1055" i="41"/>
  <c r="F1055" i="41" s="1"/>
  <c r="J1054" i="41"/>
  <c r="I1054" i="41"/>
  <c r="H1054" i="41"/>
  <c r="E1054" i="41"/>
  <c r="F1054" i="41" s="1"/>
  <c r="J1053" i="41"/>
  <c r="I1053" i="41"/>
  <c r="H1053" i="41"/>
  <c r="E1053" i="41"/>
  <c r="F1053" i="41" s="1"/>
  <c r="J1052" i="41"/>
  <c r="I1052" i="41"/>
  <c r="H1052" i="41"/>
  <c r="E1052" i="41"/>
  <c r="F1052" i="41" s="1"/>
  <c r="J1051" i="41"/>
  <c r="I1051" i="41"/>
  <c r="H1051" i="41"/>
  <c r="E1051" i="41"/>
  <c r="F1051" i="41" s="1"/>
  <c r="J1050" i="41"/>
  <c r="I1050" i="41"/>
  <c r="H1050" i="41"/>
  <c r="E1050" i="41"/>
  <c r="F1050" i="41" s="1"/>
  <c r="J1049" i="41"/>
  <c r="I1049" i="41"/>
  <c r="H1049" i="41"/>
  <c r="E1049" i="41"/>
  <c r="F1049" i="41" s="1"/>
  <c r="J1048" i="41"/>
  <c r="I1048" i="41"/>
  <c r="H1048" i="41"/>
  <c r="E1048" i="41"/>
  <c r="F1048" i="41" s="1"/>
  <c r="J1047" i="41"/>
  <c r="I1047" i="41"/>
  <c r="H1047" i="41"/>
  <c r="E1047" i="41"/>
  <c r="F1047" i="41" s="1"/>
  <c r="J1046" i="41"/>
  <c r="I1046" i="41"/>
  <c r="H1046" i="41"/>
  <c r="E1046" i="41"/>
  <c r="F1046" i="41" s="1"/>
  <c r="J1045" i="41"/>
  <c r="I1045" i="41"/>
  <c r="H1045" i="41"/>
  <c r="E1045" i="41"/>
  <c r="F1045" i="41" s="1"/>
  <c r="J1044" i="41"/>
  <c r="I1044" i="41"/>
  <c r="H1044" i="41"/>
  <c r="E1044" i="41"/>
  <c r="F1044" i="41" s="1"/>
  <c r="J1043" i="41"/>
  <c r="I1043" i="41"/>
  <c r="H1043" i="41"/>
  <c r="E1043" i="41"/>
  <c r="F1043" i="41" s="1"/>
  <c r="J1042" i="41"/>
  <c r="I1042" i="41"/>
  <c r="H1042" i="41"/>
  <c r="E1042" i="41"/>
  <c r="F1042" i="41" s="1"/>
  <c r="J1041" i="41"/>
  <c r="I1041" i="41"/>
  <c r="H1041" i="41"/>
  <c r="E1041" i="41"/>
  <c r="F1041" i="41" s="1"/>
  <c r="J1040" i="41"/>
  <c r="I1040" i="41"/>
  <c r="H1040" i="41"/>
  <c r="E1040" i="41"/>
  <c r="F1040" i="41" s="1"/>
  <c r="J1039" i="41"/>
  <c r="I1039" i="41"/>
  <c r="H1039" i="41"/>
  <c r="E1039" i="41"/>
  <c r="F1039" i="41" s="1"/>
  <c r="J1038" i="41"/>
  <c r="I1038" i="41"/>
  <c r="H1038" i="41"/>
  <c r="E1038" i="41"/>
  <c r="F1038" i="41" s="1"/>
  <c r="J1037" i="41"/>
  <c r="I1037" i="41"/>
  <c r="H1037" i="41"/>
  <c r="E1037" i="41"/>
  <c r="F1037" i="41" s="1"/>
  <c r="J1036" i="41"/>
  <c r="I1036" i="41"/>
  <c r="H1036" i="41"/>
  <c r="E1036" i="41"/>
  <c r="F1036" i="41" s="1"/>
  <c r="J1035" i="41"/>
  <c r="I1035" i="41"/>
  <c r="H1035" i="41"/>
  <c r="E1035" i="41"/>
  <c r="F1035" i="41" s="1"/>
  <c r="J1034" i="41"/>
  <c r="I1034" i="41"/>
  <c r="H1034" i="41"/>
  <c r="E1034" i="41"/>
  <c r="F1034" i="41" s="1"/>
  <c r="J1033" i="41"/>
  <c r="I1033" i="41"/>
  <c r="H1033" i="41"/>
  <c r="E1033" i="41"/>
  <c r="F1033" i="41" s="1"/>
  <c r="J1032" i="41"/>
  <c r="I1032" i="41"/>
  <c r="H1032" i="41"/>
  <c r="E1032" i="41"/>
  <c r="F1032" i="41" s="1"/>
  <c r="J1031" i="41"/>
  <c r="I1031" i="41"/>
  <c r="H1031" i="41"/>
  <c r="E1031" i="41"/>
  <c r="F1031" i="41" s="1"/>
  <c r="J1030" i="41"/>
  <c r="I1030" i="41"/>
  <c r="H1030" i="41"/>
  <c r="F1030" i="41"/>
  <c r="E1030" i="41"/>
  <c r="J1029" i="41"/>
  <c r="I1029" i="41"/>
  <c r="H1029" i="41"/>
  <c r="E1029" i="41"/>
  <c r="F1029" i="41" s="1"/>
  <c r="J1028" i="41"/>
  <c r="I1028" i="41"/>
  <c r="H1028" i="41"/>
  <c r="E1028" i="41"/>
  <c r="F1028" i="41" s="1"/>
  <c r="J1027" i="41"/>
  <c r="I1027" i="41"/>
  <c r="H1027" i="41"/>
  <c r="E1027" i="41"/>
  <c r="F1027" i="41" s="1"/>
  <c r="J1026" i="41"/>
  <c r="I1026" i="41"/>
  <c r="H1026" i="41"/>
  <c r="E1026" i="41"/>
  <c r="F1026" i="41" s="1"/>
  <c r="J1025" i="41"/>
  <c r="I1025" i="41"/>
  <c r="H1025" i="41"/>
  <c r="E1025" i="41"/>
  <c r="F1025" i="41" s="1"/>
  <c r="J1024" i="41"/>
  <c r="I1024" i="41"/>
  <c r="H1024" i="41"/>
  <c r="E1024" i="41"/>
  <c r="F1024" i="41" s="1"/>
  <c r="J1023" i="41"/>
  <c r="I1023" i="41"/>
  <c r="H1023" i="41"/>
  <c r="E1023" i="41"/>
  <c r="F1023" i="41" s="1"/>
  <c r="J1022" i="41"/>
  <c r="I1022" i="41"/>
  <c r="H1022" i="41"/>
  <c r="E1022" i="41"/>
  <c r="F1022" i="41" s="1"/>
  <c r="J1021" i="41"/>
  <c r="I1021" i="41"/>
  <c r="H1021" i="41"/>
  <c r="E1021" i="41"/>
  <c r="F1021" i="41" s="1"/>
  <c r="J1020" i="41"/>
  <c r="I1020" i="41"/>
  <c r="H1020" i="41"/>
  <c r="E1020" i="41"/>
  <c r="F1020" i="41" s="1"/>
  <c r="J1019" i="41"/>
  <c r="I1019" i="41"/>
  <c r="H1019" i="41"/>
  <c r="E1019" i="41"/>
  <c r="F1019" i="41" s="1"/>
  <c r="J1018" i="41"/>
  <c r="I1018" i="41"/>
  <c r="H1018" i="41"/>
  <c r="E1018" i="41"/>
  <c r="F1018" i="41" s="1"/>
  <c r="J1017" i="41"/>
  <c r="I1017" i="41"/>
  <c r="H1017" i="41"/>
  <c r="E1017" i="41"/>
  <c r="F1017" i="41" s="1"/>
  <c r="J1016" i="41"/>
  <c r="I1016" i="41"/>
  <c r="H1016" i="41"/>
  <c r="E1016" i="41"/>
  <c r="F1016" i="41" s="1"/>
  <c r="J1015" i="41"/>
  <c r="I1015" i="41"/>
  <c r="H1015" i="41"/>
  <c r="E1015" i="41"/>
  <c r="F1015" i="41" s="1"/>
  <c r="J1014" i="41"/>
  <c r="I1014" i="41"/>
  <c r="H1014" i="41"/>
  <c r="E1014" i="41"/>
  <c r="F1014" i="41" s="1"/>
  <c r="J1013" i="41"/>
  <c r="I1013" i="41"/>
  <c r="H1013" i="41"/>
  <c r="E1013" i="41"/>
  <c r="F1013" i="41" s="1"/>
  <c r="J1012" i="41"/>
  <c r="I1012" i="41"/>
  <c r="H1012" i="41"/>
  <c r="E1012" i="41"/>
  <c r="F1012" i="41" s="1"/>
  <c r="J1011" i="41"/>
  <c r="I1011" i="41"/>
  <c r="H1011" i="41"/>
  <c r="E1011" i="41"/>
  <c r="F1011" i="41" s="1"/>
  <c r="J1010" i="41"/>
  <c r="I1010" i="41"/>
  <c r="H1010" i="41"/>
  <c r="E1010" i="41"/>
  <c r="F1010" i="41" s="1"/>
  <c r="J1009" i="41"/>
  <c r="I1009" i="41"/>
  <c r="H1009" i="41"/>
  <c r="E1009" i="41"/>
  <c r="F1009" i="41" s="1"/>
  <c r="J1008" i="41"/>
  <c r="I1008" i="41"/>
  <c r="H1008" i="41"/>
  <c r="E1008" i="41"/>
  <c r="F1008" i="41" s="1"/>
  <c r="J1007" i="41"/>
  <c r="I1007" i="41"/>
  <c r="H1007" i="41"/>
  <c r="E1007" i="41"/>
  <c r="F1007" i="41" s="1"/>
  <c r="J1006" i="41"/>
  <c r="I1006" i="41"/>
  <c r="H1006" i="41"/>
  <c r="E1006" i="41"/>
  <c r="F1006" i="41" s="1"/>
  <c r="J1005" i="41"/>
  <c r="I1005" i="41"/>
  <c r="H1005" i="41"/>
  <c r="E1005" i="41"/>
  <c r="F1005" i="41" s="1"/>
  <c r="J1004" i="41"/>
  <c r="I1004" i="41"/>
  <c r="H1004" i="41"/>
  <c r="E1004" i="41"/>
  <c r="F1004" i="41" s="1"/>
  <c r="J1003" i="41"/>
  <c r="I1003" i="41"/>
  <c r="H1003" i="41"/>
  <c r="E1003" i="41"/>
  <c r="F1003" i="41" s="1"/>
  <c r="J1002" i="41"/>
  <c r="I1002" i="41"/>
  <c r="H1002" i="41"/>
  <c r="E1002" i="41"/>
  <c r="F1002" i="41" s="1"/>
  <c r="J1001" i="41"/>
  <c r="I1001" i="41"/>
  <c r="H1001" i="41"/>
  <c r="E1001" i="41"/>
  <c r="F1001" i="41" s="1"/>
  <c r="J1000" i="41"/>
  <c r="I1000" i="41"/>
  <c r="H1000" i="41"/>
  <c r="E1000" i="41"/>
  <c r="F1000" i="41" s="1"/>
  <c r="J999" i="41"/>
  <c r="I999" i="41"/>
  <c r="H999" i="41"/>
  <c r="E999" i="41"/>
  <c r="F999" i="41" s="1"/>
  <c r="J998" i="41"/>
  <c r="I998" i="41"/>
  <c r="H998" i="41"/>
  <c r="E998" i="41"/>
  <c r="F998" i="41" s="1"/>
  <c r="J997" i="41"/>
  <c r="I997" i="41"/>
  <c r="H997" i="41"/>
  <c r="E997" i="41"/>
  <c r="F997" i="41" s="1"/>
  <c r="J996" i="41"/>
  <c r="I996" i="41"/>
  <c r="H996" i="41"/>
  <c r="E996" i="41"/>
  <c r="F996" i="41" s="1"/>
  <c r="J995" i="41"/>
  <c r="I995" i="41"/>
  <c r="H995" i="41"/>
  <c r="E995" i="41"/>
  <c r="F995" i="41" s="1"/>
  <c r="J994" i="41"/>
  <c r="I994" i="41"/>
  <c r="H994" i="41"/>
  <c r="E994" i="41"/>
  <c r="F994" i="41" s="1"/>
  <c r="J993" i="41"/>
  <c r="I993" i="41"/>
  <c r="H993" i="41"/>
  <c r="E993" i="41"/>
  <c r="F993" i="41" s="1"/>
  <c r="J992" i="41"/>
  <c r="I992" i="41"/>
  <c r="H992" i="41"/>
  <c r="E992" i="41"/>
  <c r="F992" i="41" s="1"/>
  <c r="J991" i="41"/>
  <c r="I991" i="41"/>
  <c r="H991" i="41"/>
  <c r="E991" i="41"/>
  <c r="F991" i="41" s="1"/>
  <c r="J990" i="41"/>
  <c r="I990" i="41"/>
  <c r="H990" i="41"/>
  <c r="E990" i="41"/>
  <c r="F990" i="41" s="1"/>
  <c r="J989" i="41"/>
  <c r="I989" i="41"/>
  <c r="H989" i="41"/>
  <c r="E989" i="41"/>
  <c r="F989" i="41" s="1"/>
  <c r="J988" i="41"/>
  <c r="I988" i="41"/>
  <c r="H988" i="41"/>
  <c r="E988" i="41"/>
  <c r="F988" i="41" s="1"/>
  <c r="J987" i="41"/>
  <c r="I987" i="41"/>
  <c r="H987" i="41"/>
  <c r="E987" i="41"/>
  <c r="F987" i="41" s="1"/>
  <c r="J986" i="41"/>
  <c r="I986" i="41"/>
  <c r="H986" i="41"/>
  <c r="E986" i="41"/>
  <c r="F986" i="41" s="1"/>
  <c r="J985" i="41"/>
  <c r="I985" i="41"/>
  <c r="H985" i="41"/>
  <c r="E985" i="41"/>
  <c r="F985" i="41" s="1"/>
  <c r="J984" i="41"/>
  <c r="I984" i="41"/>
  <c r="H984" i="41"/>
  <c r="E984" i="41"/>
  <c r="F984" i="41" s="1"/>
  <c r="J983" i="41"/>
  <c r="I983" i="41"/>
  <c r="H983" i="41"/>
  <c r="E983" i="41"/>
  <c r="F983" i="41" s="1"/>
  <c r="J982" i="41"/>
  <c r="I982" i="41"/>
  <c r="H982" i="41"/>
  <c r="E982" i="41"/>
  <c r="F982" i="41" s="1"/>
  <c r="J981" i="41"/>
  <c r="I981" i="41"/>
  <c r="H981" i="41"/>
  <c r="E981" i="41"/>
  <c r="F981" i="41" s="1"/>
  <c r="J980" i="41"/>
  <c r="I980" i="41"/>
  <c r="H980" i="41"/>
  <c r="E980" i="41"/>
  <c r="F980" i="41" s="1"/>
  <c r="J979" i="41"/>
  <c r="I979" i="41"/>
  <c r="H979" i="41"/>
  <c r="E979" i="41"/>
  <c r="F979" i="41" s="1"/>
  <c r="J978" i="41"/>
  <c r="I978" i="41"/>
  <c r="H978" i="41"/>
  <c r="F978" i="41"/>
  <c r="E978" i="41"/>
  <c r="J977" i="41"/>
  <c r="I977" i="41"/>
  <c r="H977" i="41"/>
  <c r="E977" i="41"/>
  <c r="F977" i="41" s="1"/>
  <c r="J976" i="41"/>
  <c r="I976" i="41"/>
  <c r="H976" i="41"/>
  <c r="E976" i="41"/>
  <c r="F976" i="41" s="1"/>
  <c r="J975" i="41"/>
  <c r="I975" i="41"/>
  <c r="H975" i="41"/>
  <c r="E975" i="41"/>
  <c r="F975" i="41" s="1"/>
  <c r="J974" i="41"/>
  <c r="I974" i="41"/>
  <c r="H974" i="41"/>
  <c r="F974" i="41"/>
  <c r="E974" i="41"/>
  <c r="J973" i="41"/>
  <c r="I973" i="41"/>
  <c r="H973" i="41"/>
  <c r="E973" i="41"/>
  <c r="F973" i="41" s="1"/>
  <c r="J972" i="41"/>
  <c r="I972" i="41"/>
  <c r="H972" i="41"/>
  <c r="E972" i="41"/>
  <c r="F972" i="41" s="1"/>
  <c r="J971" i="41"/>
  <c r="I971" i="41"/>
  <c r="H971" i="41"/>
  <c r="E971" i="41"/>
  <c r="F971" i="41" s="1"/>
  <c r="J970" i="41"/>
  <c r="I970" i="41"/>
  <c r="H970" i="41"/>
  <c r="E970" i="41"/>
  <c r="F970" i="41" s="1"/>
  <c r="J969" i="41"/>
  <c r="I969" i="41"/>
  <c r="H969" i="41"/>
  <c r="E969" i="41"/>
  <c r="F969" i="41" s="1"/>
  <c r="J968" i="41"/>
  <c r="I968" i="41"/>
  <c r="H968" i="41"/>
  <c r="E968" i="41"/>
  <c r="F968" i="41" s="1"/>
  <c r="J967" i="41"/>
  <c r="I967" i="41"/>
  <c r="H967" i="41"/>
  <c r="E967" i="41"/>
  <c r="F967" i="41" s="1"/>
  <c r="J966" i="41"/>
  <c r="I966" i="41"/>
  <c r="H966" i="41"/>
  <c r="E966" i="41"/>
  <c r="F966" i="41" s="1"/>
  <c r="J965" i="41"/>
  <c r="I965" i="41"/>
  <c r="H965" i="41"/>
  <c r="E965" i="41"/>
  <c r="F965" i="41" s="1"/>
  <c r="J964" i="41"/>
  <c r="I964" i="41"/>
  <c r="H964" i="41"/>
  <c r="E964" i="41"/>
  <c r="F964" i="41" s="1"/>
  <c r="J963" i="41"/>
  <c r="I963" i="41"/>
  <c r="H963" i="41"/>
  <c r="E963" i="41"/>
  <c r="F963" i="41" s="1"/>
  <c r="J962" i="41"/>
  <c r="I962" i="41"/>
  <c r="H962" i="41"/>
  <c r="E962" i="41"/>
  <c r="F962" i="41" s="1"/>
  <c r="J961" i="41"/>
  <c r="I961" i="41"/>
  <c r="H961" i="41"/>
  <c r="E961" i="41"/>
  <c r="F961" i="41" s="1"/>
  <c r="J960" i="41"/>
  <c r="I960" i="41"/>
  <c r="H960" i="41"/>
  <c r="E960" i="41"/>
  <c r="F960" i="41" s="1"/>
  <c r="J959" i="41"/>
  <c r="I959" i="41"/>
  <c r="H959" i="41"/>
  <c r="E959" i="41"/>
  <c r="F959" i="41" s="1"/>
  <c r="J958" i="41"/>
  <c r="I958" i="41"/>
  <c r="H958" i="41"/>
  <c r="E958" i="41"/>
  <c r="F958" i="41" s="1"/>
  <c r="J957" i="41"/>
  <c r="I957" i="41"/>
  <c r="H957" i="41"/>
  <c r="E957" i="41"/>
  <c r="F957" i="41" s="1"/>
  <c r="J956" i="41"/>
  <c r="I956" i="41"/>
  <c r="H956" i="41"/>
  <c r="E956" i="41"/>
  <c r="F956" i="41" s="1"/>
  <c r="J955" i="41"/>
  <c r="I955" i="41"/>
  <c r="H955" i="41"/>
  <c r="E955" i="41"/>
  <c r="F955" i="41" s="1"/>
  <c r="J954" i="41"/>
  <c r="I954" i="41"/>
  <c r="H954" i="41"/>
  <c r="E954" i="41"/>
  <c r="F954" i="41" s="1"/>
  <c r="J953" i="41"/>
  <c r="I953" i="41"/>
  <c r="H953" i="41"/>
  <c r="E953" i="41"/>
  <c r="F953" i="41" s="1"/>
  <c r="J952" i="41"/>
  <c r="I952" i="41"/>
  <c r="H952" i="41"/>
  <c r="E952" i="41"/>
  <c r="F952" i="41" s="1"/>
  <c r="J951" i="41"/>
  <c r="I951" i="41"/>
  <c r="H951" i="41"/>
  <c r="E951" i="41"/>
  <c r="F951" i="41" s="1"/>
  <c r="J950" i="41"/>
  <c r="I950" i="41"/>
  <c r="H950" i="41"/>
  <c r="E950" i="41"/>
  <c r="F950" i="41" s="1"/>
  <c r="J949" i="41"/>
  <c r="I949" i="41"/>
  <c r="H949" i="41"/>
  <c r="E949" i="41"/>
  <c r="F949" i="41" s="1"/>
  <c r="J948" i="41"/>
  <c r="I948" i="41"/>
  <c r="H948" i="41"/>
  <c r="E948" i="41"/>
  <c r="F948" i="41" s="1"/>
  <c r="J947" i="41"/>
  <c r="I947" i="41"/>
  <c r="H947" i="41"/>
  <c r="E947" i="41"/>
  <c r="F947" i="41" s="1"/>
  <c r="J946" i="41"/>
  <c r="I946" i="41"/>
  <c r="H946" i="41"/>
  <c r="E946" i="41"/>
  <c r="F946" i="41" s="1"/>
  <c r="J945" i="41"/>
  <c r="I945" i="41"/>
  <c r="H945" i="41"/>
  <c r="E945" i="41"/>
  <c r="F945" i="41" s="1"/>
  <c r="J944" i="41"/>
  <c r="I944" i="41"/>
  <c r="H944" i="41"/>
  <c r="E944" i="41"/>
  <c r="F944" i="41" s="1"/>
  <c r="J943" i="41"/>
  <c r="I943" i="41"/>
  <c r="H943" i="41"/>
  <c r="E943" i="41"/>
  <c r="F943" i="41" s="1"/>
  <c r="J942" i="41"/>
  <c r="I942" i="41"/>
  <c r="H942" i="41"/>
  <c r="F942" i="41"/>
  <c r="E942" i="41"/>
  <c r="J941" i="41"/>
  <c r="I941" i="41"/>
  <c r="H941" i="41"/>
  <c r="E941" i="41"/>
  <c r="F941" i="41" s="1"/>
  <c r="J940" i="41"/>
  <c r="I940" i="41"/>
  <c r="H940" i="41"/>
  <c r="E940" i="41"/>
  <c r="F940" i="41" s="1"/>
  <c r="J939" i="41"/>
  <c r="I939" i="41"/>
  <c r="H939" i="41"/>
  <c r="E939" i="41"/>
  <c r="F939" i="41" s="1"/>
  <c r="J938" i="41"/>
  <c r="I938" i="41"/>
  <c r="H938" i="41"/>
  <c r="E938" i="41"/>
  <c r="F938" i="41" s="1"/>
  <c r="J937" i="41"/>
  <c r="I937" i="41"/>
  <c r="H937" i="41"/>
  <c r="E937" i="41"/>
  <c r="F937" i="41" s="1"/>
  <c r="J936" i="41"/>
  <c r="I936" i="41"/>
  <c r="H936" i="41"/>
  <c r="E936" i="41"/>
  <c r="F936" i="41" s="1"/>
  <c r="J935" i="41"/>
  <c r="I935" i="41"/>
  <c r="H935" i="41"/>
  <c r="E935" i="41"/>
  <c r="F935" i="41" s="1"/>
  <c r="J934" i="41"/>
  <c r="I934" i="41"/>
  <c r="H934" i="41"/>
  <c r="E934" i="41"/>
  <c r="F934" i="41" s="1"/>
  <c r="J933" i="41"/>
  <c r="I933" i="41"/>
  <c r="H933" i="41"/>
  <c r="E933" i="41"/>
  <c r="F933" i="41" s="1"/>
  <c r="J932" i="41"/>
  <c r="I932" i="41"/>
  <c r="H932" i="41"/>
  <c r="E932" i="41"/>
  <c r="F932" i="41" s="1"/>
  <c r="J931" i="41"/>
  <c r="I931" i="41"/>
  <c r="H931" i="41"/>
  <c r="E931" i="41"/>
  <c r="F931" i="41" s="1"/>
  <c r="J930" i="41"/>
  <c r="I930" i="41"/>
  <c r="H930" i="41"/>
  <c r="E930" i="41"/>
  <c r="F930" i="41" s="1"/>
  <c r="J929" i="41"/>
  <c r="I929" i="41"/>
  <c r="H929" i="41"/>
  <c r="E929" i="41"/>
  <c r="F929" i="41" s="1"/>
  <c r="J928" i="41"/>
  <c r="I928" i="41"/>
  <c r="H928" i="41"/>
  <c r="E928" i="41"/>
  <c r="F928" i="41" s="1"/>
  <c r="J927" i="41"/>
  <c r="I927" i="41"/>
  <c r="H927" i="41"/>
  <c r="E927" i="41"/>
  <c r="F927" i="41" s="1"/>
  <c r="J926" i="41"/>
  <c r="I926" i="41"/>
  <c r="H926" i="41"/>
  <c r="E926" i="41"/>
  <c r="F926" i="41" s="1"/>
  <c r="J925" i="41"/>
  <c r="I925" i="41"/>
  <c r="H925" i="41"/>
  <c r="E925" i="41"/>
  <c r="F925" i="41" s="1"/>
  <c r="J924" i="41"/>
  <c r="I924" i="41"/>
  <c r="H924" i="41"/>
  <c r="E924" i="41"/>
  <c r="F924" i="41" s="1"/>
  <c r="J923" i="41"/>
  <c r="I923" i="41"/>
  <c r="H923" i="41"/>
  <c r="E923" i="41"/>
  <c r="F923" i="41" s="1"/>
  <c r="J922" i="41"/>
  <c r="I922" i="41"/>
  <c r="H922" i="41"/>
  <c r="E922" i="41"/>
  <c r="F922" i="41" s="1"/>
  <c r="J921" i="41"/>
  <c r="I921" i="41"/>
  <c r="H921" i="41"/>
  <c r="E921" i="41"/>
  <c r="F921" i="41" s="1"/>
  <c r="J920" i="41"/>
  <c r="I920" i="41"/>
  <c r="H920" i="41"/>
  <c r="E920" i="41"/>
  <c r="F920" i="41" s="1"/>
  <c r="J919" i="41"/>
  <c r="I919" i="41"/>
  <c r="H919" i="41"/>
  <c r="E919" i="41"/>
  <c r="F919" i="41" s="1"/>
  <c r="J918" i="41"/>
  <c r="I918" i="41"/>
  <c r="H918" i="41"/>
  <c r="E918" i="41"/>
  <c r="F918" i="41" s="1"/>
  <c r="J917" i="41"/>
  <c r="I917" i="41"/>
  <c r="H917" i="41"/>
  <c r="E917" i="41"/>
  <c r="F917" i="41" s="1"/>
  <c r="J916" i="41"/>
  <c r="I916" i="41"/>
  <c r="H916" i="41"/>
  <c r="E916" i="41"/>
  <c r="F916" i="41" s="1"/>
  <c r="J915" i="41"/>
  <c r="I915" i="41"/>
  <c r="H915" i="41"/>
  <c r="E915" i="41"/>
  <c r="F915" i="41" s="1"/>
  <c r="J914" i="41"/>
  <c r="I914" i="41"/>
  <c r="H914" i="41"/>
  <c r="E914" i="41"/>
  <c r="F914" i="41" s="1"/>
  <c r="J913" i="41"/>
  <c r="I913" i="41"/>
  <c r="H913" i="41"/>
  <c r="E913" i="41"/>
  <c r="F913" i="41" s="1"/>
  <c r="J912" i="41"/>
  <c r="I912" i="41"/>
  <c r="H912" i="41"/>
  <c r="E912" i="41"/>
  <c r="F912" i="41" s="1"/>
  <c r="J911" i="41"/>
  <c r="I911" i="41"/>
  <c r="H911" i="41"/>
  <c r="E911" i="41"/>
  <c r="F911" i="41" s="1"/>
  <c r="J910" i="41"/>
  <c r="I910" i="41"/>
  <c r="H910" i="41"/>
  <c r="E910" i="41"/>
  <c r="F910" i="41" s="1"/>
  <c r="J909" i="41"/>
  <c r="I909" i="41"/>
  <c r="H909" i="41"/>
  <c r="E909" i="41"/>
  <c r="F909" i="41" s="1"/>
  <c r="J908" i="41"/>
  <c r="I908" i="41"/>
  <c r="H908" i="41"/>
  <c r="E908" i="41"/>
  <c r="F908" i="41" s="1"/>
  <c r="J907" i="41"/>
  <c r="I907" i="41"/>
  <c r="H907" i="41"/>
  <c r="E907" i="41"/>
  <c r="F907" i="41" s="1"/>
  <c r="J906" i="41"/>
  <c r="I906" i="41"/>
  <c r="H906" i="41"/>
  <c r="E906" i="41"/>
  <c r="F906" i="41" s="1"/>
  <c r="J905" i="41"/>
  <c r="I905" i="41"/>
  <c r="H905" i="41"/>
  <c r="E905" i="41"/>
  <c r="F905" i="41" s="1"/>
  <c r="J904" i="41"/>
  <c r="I904" i="41"/>
  <c r="H904" i="41"/>
  <c r="E904" i="41"/>
  <c r="F904" i="41" s="1"/>
  <c r="J903" i="41"/>
  <c r="I903" i="41"/>
  <c r="H903" i="41"/>
  <c r="E903" i="41"/>
  <c r="F903" i="41" s="1"/>
  <c r="J902" i="41"/>
  <c r="I902" i="41"/>
  <c r="H902" i="41"/>
  <c r="F902" i="41"/>
  <c r="E902" i="41"/>
  <c r="J901" i="41"/>
  <c r="I901" i="41"/>
  <c r="H901" i="41"/>
  <c r="E901" i="41"/>
  <c r="F901" i="41" s="1"/>
  <c r="J900" i="41"/>
  <c r="I900" i="41"/>
  <c r="H900" i="41"/>
  <c r="E900" i="41"/>
  <c r="F900" i="41" s="1"/>
  <c r="J899" i="41"/>
  <c r="I899" i="41"/>
  <c r="H899" i="41"/>
  <c r="E899" i="41"/>
  <c r="F899" i="41" s="1"/>
  <c r="J898" i="41"/>
  <c r="I898" i="41"/>
  <c r="H898" i="41"/>
  <c r="E898" i="41"/>
  <c r="F898" i="41" s="1"/>
  <c r="J897" i="41"/>
  <c r="I897" i="41"/>
  <c r="H897" i="41"/>
  <c r="E897" i="41"/>
  <c r="F897" i="41" s="1"/>
  <c r="J896" i="41"/>
  <c r="I896" i="41"/>
  <c r="H896" i="41"/>
  <c r="E896" i="41"/>
  <c r="F896" i="41" s="1"/>
  <c r="J895" i="41"/>
  <c r="I895" i="41"/>
  <c r="H895" i="41"/>
  <c r="E895" i="41"/>
  <c r="F895" i="41" s="1"/>
  <c r="J894" i="41"/>
  <c r="I894" i="41"/>
  <c r="H894" i="41"/>
  <c r="E894" i="41"/>
  <c r="F894" i="41" s="1"/>
  <c r="J893" i="41"/>
  <c r="I893" i="41"/>
  <c r="H893" i="41"/>
  <c r="E893" i="41"/>
  <c r="F893" i="41" s="1"/>
  <c r="J892" i="41"/>
  <c r="I892" i="41"/>
  <c r="H892" i="41"/>
  <c r="E892" i="41"/>
  <c r="F892" i="41" s="1"/>
  <c r="J891" i="41"/>
  <c r="I891" i="41"/>
  <c r="H891" i="41"/>
  <c r="E891" i="41"/>
  <c r="F891" i="41" s="1"/>
  <c r="J890" i="41"/>
  <c r="I890" i="41"/>
  <c r="H890" i="41"/>
  <c r="E890" i="41"/>
  <c r="F890" i="41" s="1"/>
  <c r="J889" i="41"/>
  <c r="I889" i="41"/>
  <c r="H889" i="41"/>
  <c r="E889" i="41"/>
  <c r="F889" i="41" s="1"/>
  <c r="J888" i="41"/>
  <c r="I888" i="41"/>
  <c r="H888" i="41"/>
  <c r="E888" i="41"/>
  <c r="F888" i="41" s="1"/>
  <c r="J887" i="41"/>
  <c r="I887" i="41"/>
  <c r="H887" i="41"/>
  <c r="E887" i="41"/>
  <c r="F887" i="41" s="1"/>
  <c r="J886" i="41"/>
  <c r="I886" i="41"/>
  <c r="H886" i="41"/>
  <c r="E886" i="41"/>
  <c r="F886" i="41" s="1"/>
  <c r="J885" i="41"/>
  <c r="I885" i="41"/>
  <c r="H885" i="41"/>
  <c r="E885" i="41"/>
  <c r="F885" i="41" s="1"/>
  <c r="J884" i="41"/>
  <c r="I884" i="41"/>
  <c r="H884" i="41"/>
  <c r="E884" i="41"/>
  <c r="F884" i="41" s="1"/>
  <c r="J883" i="41"/>
  <c r="I883" i="41"/>
  <c r="H883" i="41"/>
  <c r="E883" i="41"/>
  <c r="F883" i="41" s="1"/>
  <c r="J882" i="41"/>
  <c r="I882" i="41"/>
  <c r="H882" i="41"/>
  <c r="E882" i="41"/>
  <c r="F882" i="41" s="1"/>
  <c r="J881" i="41"/>
  <c r="I881" i="41"/>
  <c r="H881" i="41"/>
  <c r="E881" i="41"/>
  <c r="F881" i="41" s="1"/>
  <c r="J880" i="41"/>
  <c r="I880" i="41"/>
  <c r="H880" i="41"/>
  <c r="E880" i="41"/>
  <c r="F880" i="41" s="1"/>
  <c r="J879" i="41"/>
  <c r="I879" i="41"/>
  <c r="H879" i="41"/>
  <c r="E879" i="41"/>
  <c r="F879" i="41" s="1"/>
  <c r="J878" i="41"/>
  <c r="I878" i="41"/>
  <c r="H878" i="41"/>
  <c r="E878" i="41"/>
  <c r="F878" i="41" s="1"/>
  <c r="J877" i="41"/>
  <c r="I877" i="41"/>
  <c r="H877" i="41"/>
  <c r="E877" i="41"/>
  <c r="F877" i="41" s="1"/>
  <c r="J876" i="41"/>
  <c r="I876" i="41"/>
  <c r="H876" i="41"/>
  <c r="E876" i="41"/>
  <c r="F876" i="41" s="1"/>
  <c r="J875" i="41"/>
  <c r="I875" i="41"/>
  <c r="H875" i="41"/>
  <c r="E875" i="41"/>
  <c r="F875" i="41" s="1"/>
  <c r="J874" i="41"/>
  <c r="I874" i="41"/>
  <c r="H874" i="41"/>
  <c r="E874" i="41"/>
  <c r="F874" i="41" s="1"/>
  <c r="J873" i="41"/>
  <c r="I873" i="41"/>
  <c r="H873" i="41"/>
  <c r="E873" i="41"/>
  <c r="F873" i="41" s="1"/>
  <c r="J872" i="41"/>
  <c r="I872" i="41"/>
  <c r="H872" i="41"/>
  <c r="E872" i="41"/>
  <c r="F872" i="41" s="1"/>
  <c r="J871" i="41"/>
  <c r="I871" i="41"/>
  <c r="H871" i="41"/>
  <c r="E871" i="41"/>
  <c r="F871" i="41" s="1"/>
  <c r="J870" i="41"/>
  <c r="I870" i="41"/>
  <c r="H870" i="41"/>
  <c r="F870" i="41"/>
  <c r="E870" i="41"/>
  <c r="J869" i="41"/>
  <c r="I869" i="41"/>
  <c r="H869" i="41"/>
  <c r="E869" i="41"/>
  <c r="F869" i="41" s="1"/>
  <c r="J868" i="41"/>
  <c r="I868" i="41"/>
  <c r="H868" i="41"/>
  <c r="E868" i="41"/>
  <c r="F868" i="41" s="1"/>
  <c r="J867" i="41"/>
  <c r="I867" i="41"/>
  <c r="H867" i="41"/>
  <c r="E867" i="41"/>
  <c r="F867" i="41" s="1"/>
  <c r="J866" i="41"/>
  <c r="I866" i="41"/>
  <c r="H866" i="41"/>
  <c r="E866" i="41"/>
  <c r="F866" i="41" s="1"/>
  <c r="J865" i="41"/>
  <c r="I865" i="41"/>
  <c r="H865" i="41"/>
  <c r="E865" i="41"/>
  <c r="F865" i="41" s="1"/>
  <c r="J864" i="41"/>
  <c r="I864" i="41"/>
  <c r="H864" i="41"/>
  <c r="E864" i="41"/>
  <c r="F864" i="41" s="1"/>
  <c r="J863" i="41"/>
  <c r="I863" i="41"/>
  <c r="H863" i="41"/>
  <c r="E863" i="41"/>
  <c r="F863" i="41" s="1"/>
  <c r="J862" i="41"/>
  <c r="I862" i="41"/>
  <c r="H862" i="41"/>
  <c r="E862" i="41"/>
  <c r="F862" i="41" s="1"/>
  <c r="J861" i="41"/>
  <c r="I861" i="41"/>
  <c r="H861" i="41"/>
  <c r="E861" i="41"/>
  <c r="F861" i="41" s="1"/>
  <c r="J860" i="41"/>
  <c r="I860" i="41"/>
  <c r="H860" i="41"/>
  <c r="E860" i="41"/>
  <c r="F860" i="41" s="1"/>
  <c r="J859" i="41"/>
  <c r="I859" i="41"/>
  <c r="H859" i="41"/>
  <c r="E859" i="41"/>
  <c r="F859" i="41" s="1"/>
  <c r="J858" i="41"/>
  <c r="I858" i="41"/>
  <c r="H858" i="41"/>
  <c r="E858" i="41"/>
  <c r="F858" i="41" s="1"/>
  <c r="J857" i="41"/>
  <c r="I857" i="41"/>
  <c r="H857" i="41"/>
  <c r="E857" i="41"/>
  <c r="F857" i="41" s="1"/>
  <c r="J856" i="41"/>
  <c r="I856" i="41"/>
  <c r="H856" i="41"/>
  <c r="E856" i="41"/>
  <c r="F856" i="41" s="1"/>
  <c r="J855" i="41"/>
  <c r="I855" i="41"/>
  <c r="H855" i="41"/>
  <c r="E855" i="41"/>
  <c r="F855" i="41" s="1"/>
  <c r="J854" i="41"/>
  <c r="I854" i="41"/>
  <c r="H854" i="41"/>
  <c r="E854" i="41"/>
  <c r="F854" i="41" s="1"/>
  <c r="J853" i="41"/>
  <c r="I853" i="41"/>
  <c r="H853" i="41"/>
  <c r="E853" i="41"/>
  <c r="F853" i="41" s="1"/>
  <c r="J852" i="41"/>
  <c r="I852" i="41"/>
  <c r="H852" i="41"/>
  <c r="E852" i="41"/>
  <c r="F852" i="41" s="1"/>
  <c r="J851" i="41"/>
  <c r="I851" i="41"/>
  <c r="H851" i="41"/>
  <c r="E851" i="41"/>
  <c r="F851" i="41" s="1"/>
  <c r="J850" i="41"/>
  <c r="I850" i="41"/>
  <c r="H850" i="41"/>
  <c r="E850" i="41"/>
  <c r="F850" i="41" s="1"/>
  <c r="J849" i="41"/>
  <c r="I849" i="41"/>
  <c r="H849" i="41"/>
  <c r="E849" i="41"/>
  <c r="F849" i="41" s="1"/>
  <c r="J848" i="41"/>
  <c r="I848" i="41"/>
  <c r="H848" i="41"/>
  <c r="E848" i="41"/>
  <c r="F848" i="41" s="1"/>
  <c r="J847" i="41"/>
  <c r="I847" i="41"/>
  <c r="H847" i="41"/>
  <c r="E847" i="41"/>
  <c r="F847" i="41" s="1"/>
  <c r="J846" i="41"/>
  <c r="I846" i="41"/>
  <c r="H846" i="41"/>
  <c r="E846" i="41"/>
  <c r="F846" i="41" s="1"/>
  <c r="J845" i="41"/>
  <c r="I845" i="41"/>
  <c r="H845" i="41"/>
  <c r="E845" i="41"/>
  <c r="F845" i="41" s="1"/>
  <c r="J844" i="41"/>
  <c r="I844" i="41"/>
  <c r="H844" i="41"/>
  <c r="E844" i="41"/>
  <c r="F844" i="41" s="1"/>
  <c r="J843" i="41"/>
  <c r="I843" i="41"/>
  <c r="H843" i="41"/>
  <c r="E843" i="41"/>
  <c r="F843" i="41" s="1"/>
  <c r="J842" i="41"/>
  <c r="I842" i="41"/>
  <c r="H842" i="41"/>
  <c r="E842" i="41"/>
  <c r="F842" i="41" s="1"/>
  <c r="J841" i="41"/>
  <c r="I841" i="41"/>
  <c r="H841" i="41"/>
  <c r="E841" i="41"/>
  <c r="F841" i="41" s="1"/>
  <c r="J840" i="41"/>
  <c r="I840" i="41"/>
  <c r="H840" i="41"/>
  <c r="E840" i="41"/>
  <c r="F840" i="41" s="1"/>
  <c r="J839" i="41"/>
  <c r="I839" i="41"/>
  <c r="H839" i="41"/>
  <c r="E839" i="41"/>
  <c r="F839" i="41" s="1"/>
  <c r="J838" i="41"/>
  <c r="I838" i="41"/>
  <c r="H838" i="41"/>
  <c r="E838" i="41"/>
  <c r="F838" i="41" s="1"/>
  <c r="J837" i="41"/>
  <c r="I837" i="41"/>
  <c r="H837" i="41"/>
  <c r="E837" i="41"/>
  <c r="F837" i="41" s="1"/>
  <c r="J836" i="41"/>
  <c r="I836" i="41"/>
  <c r="H836" i="41"/>
  <c r="E836" i="41"/>
  <c r="F836" i="41" s="1"/>
  <c r="J835" i="41"/>
  <c r="I835" i="41"/>
  <c r="H835" i="41"/>
  <c r="E835" i="41"/>
  <c r="F835" i="41" s="1"/>
  <c r="J834" i="41"/>
  <c r="I834" i="41"/>
  <c r="H834" i="41"/>
  <c r="E834" i="41"/>
  <c r="F834" i="41" s="1"/>
  <c r="J833" i="41"/>
  <c r="I833" i="41"/>
  <c r="H833" i="41"/>
  <c r="E833" i="41"/>
  <c r="F833" i="41" s="1"/>
  <c r="J832" i="41"/>
  <c r="I832" i="41"/>
  <c r="H832" i="41"/>
  <c r="E832" i="41"/>
  <c r="F832" i="41" s="1"/>
  <c r="J831" i="41"/>
  <c r="I831" i="41"/>
  <c r="H831" i="41"/>
  <c r="E831" i="41"/>
  <c r="F831" i="41" s="1"/>
  <c r="J830" i="41"/>
  <c r="I830" i="41"/>
  <c r="H830" i="41"/>
  <c r="F830" i="41"/>
  <c r="E830" i="41"/>
  <c r="J829" i="41"/>
  <c r="I829" i="41"/>
  <c r="H829" i="41"/>
  <c r="E829" i="41"/>
  <c r="F829" i="41" s="1"/>
  <c r="J828" i="41"/>
  <c r="I828" i="41"/>
  <c r="H828" i="41"/>
  <c r="E828" i="41"/>
  <c r="F828" i="41" s="1"/>
  <c r="J827" i="41"/>
  <c r="I827" i="41"/>
  <c r="H827" i="41"/>
  <c r="E827" i="41"/>
  <c r="F827" i="41" s="1"/>
  <c r="J826" i="41"/>
  <c r="I826" i="41"/>
  <c r="H826" i="41"/>
  <c r="E826" i="41"/>
  <c r="F826" i="41" s="1"/>
  <c r="J825" i="41"/>
  <c r="I825" i="41"/>
  <c r="H825" i="41"/>
  <c r="E825" i="41"/>
  <c r="F825" i="41" s="1"/>
  <c r="J824" i="41"/>
  <c r="I824" i="41"/>
  <c r="H824" i="41"/>
  <c r="E824" i="41"/>
  <c r="F824" i="41" s="1"/>
  <c r="J823" i="41"/>
  <c r="I823" i="41"/>
  <c r="H823" i="41"/>
  <c r="E823" i="41"/>
  <c r="F823" i="41" s="1"/>
  <c r="J822" i="41"/>
  <c r="I822" i="41"/>
  <c r="H822" i="41"/>
  <c r="E822" i="41"/>
  <c r="F822" i="41" s="1"/>
  <c r="J821" i="41"/>
  <c r="I821" i="41"/>
  <c r="H821" i="41"/>
  <c r="E821" i="41"/>
  <c r="F821" i="41" s="1"/>
  <c r="J820" i="41"/>
  <c r="I820" i="41"/>
  <c r="H820" i="41"/>
  <c r="E820" i="41"/>
  <c r="F820" i="41" s="1"/>
  <c r="J819" i="41"/>
  <c r="I819" i="41"/>
  <c r="H819" i="41"/>
  <c r="E819" i="41"/>
  <c r="F819" i="41" s="1"/>
  <c r="J818" i="41"/>
  <c r="I818" i="41"/>
  <c r="H818" i="41"/>
  <c r="E818" i="41"/>
  <c r="F818" i="41" s="1"/>
  <c r="J817" i="41"/>
  <c r="I817" i="41"/>
  <c r="H817" i="41"/>
  <c r="E817" i="41"/>
  <c r="F817" i="41" s="1"/>
  <c r="J816" i="41"/>
  <c r="I816" i="41"/>
  <c r="H816" i="41"/>
  <c r="E816" i="41"/>
  <c r="F816" i="41" s="1"/>
  <c r="J815" i="41"/>
  <c r="I815" i="41"/>
  <c r="H815" i="41"/>
  <c r="E815" i="41"/>
  <c r="F815" i="41" s="1"/>
  <c r="J814" i="41"/>
  <c r="I814" i="41"/>
  <c r="H814" i="41"/>
  <c r="E814" i="41"/>
  <c r="F814" i="41" s="1"/>
  <c r="J813" i="41"/>
  <c r="I813" i="41"/>
  <c r="H813" i="41"/>
  <c r="F813" i="41"/>
  <c r="E813" i="41"/>
  <c r="J812" i="41"/>
  <c r="I812" i="41"/>
  <c r="H812" i="41"/>
  <c r="E812" i="41"/>
  <c r="F812" i="41" s="1"/>
  <c r="J811" i="41"/>
  <c r="I811" i="41"/>
  <c r="H811" i="41"/>
  <c r="E811" i="41"/>
  <c r="F811" i="41" s="1"/>
  <c r="J810" i="41"/>
  <c r="I810" i="41"/>
  <c r="H810" i="41"/>
  <c r="E810" i="41"/>
  <c r="F810" i="41" s="1"/>
  <c r="J809" i="41"/>
  <c r="I809" i="41"/>
  <c r="H809" i="41"/>
  <c r="E809" i="41"/>
  <c r="F809" i="41" s="1"/>
  <c r="J808" i="41"/>
  <c r="I808" i="41"/>
  <c r="H808" i="41"/>
  <c r="E808" i="41"/>
  <c r="F808" i="41" s="1"/>
  <c r="J807" i="41"/>
  <c r="I807" i="41"/>
  <c r="H807" i="41"/>
  <c r="E807" i="41"/>
  <c r="F807" i="41" s="1"/>
  <c r="J806" i="41"/>
  <c r="I806" i="41"/>
  <c r="H806" i="41"/>
  <c r="E806" i="41"/>
  <c r="F806" i="41" s="1"/>
  <c r="J805" i="41"/>
  <c r="I805" i="41"/>
  <c r="H805" i="41"/>
  <c r="E805" i="41"/>
  <c r="F805" i="41" s="1"/>
  <c r="J804" i="41"/>
  <c r="I804" i="41"/>
  <c r="H804" i="41"/>
  <c r="E804" i="41"/>
  <c r="F804" i="41" s="1"/>
  <c r="J803" i="41"/>
  <c r="I803" i="41"/>
  <c r="H803" i="41"/>
  <c r="E803" i="41"/>
  <c r="F803" i="41" s="1"/>
  <c r="J802" i="41"/>
  <c r="I802" i="41"/>
  <c r="H802" i="41"/>
  <c r="E802" i="41"/>
  <c r="F802" i="41" s="1"/>
  <c r="J801" i="41"/>
  <c r="I801" i="41"/>
  <c r="H801" i="41"/>
  <c r="E801" i="41"/>
  <c r="F801" i="41" s="1"/>
  <c r="J800" i="41"/>
  <c r="I800" i="41"/>
  <c r="H800" i="41"/>
  <c r="E800" i="41"/>
  <c r="F800" i="41" s="1"/>
  <c r="J799" i="41"/>
  <c r="I799" i="41"/>
  <c r="H799" i="41"/>
  <c r="E799" i="41"/>
  <c r="F799" i="41" s="1"/>
  <c r="J798" i="41"/>
  <c r="I798" i="41"/>
  <c r="H798" i="41"/>
  <c r="E798" i="41"/>
  <c r="F798" i="41" s="1"/>
  <c r="J797" i="41"/>
  <c r="I797" i="41"/>
  <c r="H797" i="41"/>
  <c r="E797" i="41"/>
  <c r="F797" i="41" s="1"/>
  <c r="J796" i="41"/>
  <c r="I796" i="41"/>
  <c r="H796" i="41"/>
  <c r="E796" i="41"/>
  <c r="F796" i="41" s="1"/>
  <c r="J795" i="41"/>
  <c r="I795" i="41"/>
  <c r="H795" i="41"/>
  <c r="E795" i="41"/>
  <c r="F795" i="41" s="1"/>
  <c r="J794" i="41"/>
  <c r="I794" i="41"/>
  <c r="H794" i="41"/>
  <c r="E794" i="41"/>
  <c r="F794" i="41" s="1"/>
  <c r="J793" i="41"/>
  <c r="I793" i="41"/>
  <c r="H793" i="41"/>
  <c r="E793" i="41"/>
  <c r="F793" i="41" s="1"/>
  <c r="J792" i="41"/>
  <c r="I792" i="41"/>
  <c r="H792" i="41"/>
  <c r="E792" i="41"/>
  <c r="F792" i="41" s="1"/>
  <c r="J791" i="41"/>
  <c r="I791" i="41"/>
  <c r="H791" i="41"/>
  <c r="E791" i="41"/>
  <c r="F791" i="41" s="1"/>
  <c r="J790" i="41"/>
  <c r="I790" i="41"/>
  <c r="H790" i="41"/>
  <c r="E790" i="41"/>
  <c r="F790" i="41" s="1"/>
  <c r="J789" i="41"/>
  <c r="I789" i="41"/>
  <c r="H789" i="41"/>
  <c r="E789" i="41"/>
  <c r="F789" i="41" s="1"/>
  <c r="J788" i="41"/>
  <c r="I788" i="41"/>
  <c r="H788" i="41"/>
  <c r="E788" i="41"/>
  <c r="F788" i="41" s="1"/>
  <c r="J787" i="41"/>
  <c r="I787" i="41"/>
  <c r="H787" i="41"/>
  <c r="E787" i="41"/>
  <c r="F787" i="41" s="1"/>
  <c r="J786" i="41"/>
  <c r="I786" i="41"/>
  <c r="H786" i="41"/>
  <c r="E786" i="41"/>
  <c r="F786" i="41" s="1"/>
  <c r="J785" i="41"/>
  <c r="I785" i="41"/>
  <c r="H785" i="41"/>
  <c r="E785" i="41"/>
  <c r="F785" i="41" s="1"/>
  <c r="J784" i="41"/>
  <c r="I784" i="41"/>
  <c r="H784" i="41"/>
  <c r="E784" i="41"/>
  <c r="F784" i="41" s="1"/>
  <c r="J783" i="41"/>
  <c r="I783" i="41"/>
  <c r="H783" i="41"/>
  <c r="E783" i="41"/>
  <c r="F783" i="41" s="1"/>
  <c r="J782" i="41"/>
  <c r="I782" i="41"/>
  <c r="H782" i="41"/>
  <c r="E782" i="41"/>
  <c r="F782" i="41" s="1"/>
  <c r="J781" i="41"/>
  <c r="I781" i="41"/>
  <c r="H781" i="41"/>
  <c r="F781" i="41"/>
  <c r="E781" i="41"/>
  <c r="J780" i="41"/>
  <c r="I780" i="41"/>
  <c r="H780" i="41"/>
  <c r="E780" i="41"/>
  <c r="F780" i="41" s="1"/>
  <c r="J779" i="41"/>
  <c r="I779" i="41"/>
  <c r="H779" i="41"/>
  <c r="E779" i="41"/>
  <c r="F779" i="41" s="1"/>
  <c r="J778" i="41"/>
  <c r="I778" i="41"/>
  <c r="H778" i="41"/>
  <c r="E778" i="41"/>
  <c r="F778" i="41" s="1"/>
  <c r="J777" i="41"/>
  <c r="I777" i="41"/>
  <c r="H777" i="41"/>
  <c r="E777" i="41"/>
  <c r="F777" i="41" s="1"/>
  <c r="J776" i="41"/>
  <c r="I776" i="41"/>
  <c r="H776" i="41"/>
  <c r="E776" i="41"/>
  <c r="F776" i="41" s="1"/>
  <c r="J775" i="41"/>
  <c r="I775" i="41"/>
  <c r="H775" i="41"/>
  <c r="E775" i="41"/>
  <c r="F775" i="41" s="1"/>
  <c r="J774" i="41"/>
  <c r="I774" i="41"/>
  <c r="H774" i="41"/>
  <c r="E774" i="41"/>
  <c r="F774" i="41" s="1"/>
  <c r="J773" i="41"/>
  <c r="I773" i="41"/>
  <c r="H773" i="41"/>
  <c r="E773" i="41"/>
  <c r="F773" i="41" s="1"/>
  <c r="J772" i="41"/>
  <c r="I772" i="41"/>
  <c r="H772" i="41"/>
  <c r="F772" i="41"/>
  <c r="E772" i="41"/>
  <c r="J771" i="41"/>
  <c r="I771" i="41"/>
  <c r="H771" i="41"/>
  <c r="E771" i="41"/>
  <c r="F771" i="41" s="1"/>
  <c r="J770" i="41"/>
  <c r="I770" i="41"/>
  <c r="H770" i="41"/>
  <c r="E770" i="41"/>
  <c r="F770" i="41" s="1"/>
  <c r="J769" i="41"/>
  <c r="I769" i="41"/>
  <c r="H769" i="41"/>
  <c r="E769" i="41"/>
  <c r="F769" i="41" s="1"/>
  <c r="J768" i="41"/>
  <c r="I768" i="41"/>
  <c r="H768" i="41"/>
  <c r="E768" i="41"/>
  <c r="F768" i="41" s="1"/>
  <c r="J767" i="41"/>
  <c r="I767" i="41"/>
  <c r="H767" i="41"/>
  <c r="E767" i="41"/>
  <c r="F767" i="41" s="1"/>
  <c r="J766" i="41"/>
  <c r="I766" i="41"/>
  <c r="H766" i="41"/>
  <c r="E766" i="41"/>
  <c r="F766" i="41" s="1"/>
  <c r="J765" i="41"/>
  <c r="I765" i="41"/>
  <c r="H765" i="41"/>
  <c r="E765" i="41"/>
  <c r="F765" i="41" s="1"/>
  <c r="J764" i="41"/>
  <c r="I764" i="41"/>
  <c r="H764" i="41"/>
  <c r="E764" i="41"/>
  <c r="F764" i="41" s="1"/>
  <c r="J763" i="41"/>
  <c r="I763" i="41"/>
  <c r="H763" i="41"/>
  <c r="E763" i="41"/>
  <c r="F763" i="41" s="1"/>
  <c r="J762" i="41"/>
  <c r="I762" i="41"/>
  <c r="H762" i="41"/>
  <c r="E762" i="41"/>
  <c r="F762" i="41" s="1"/>
  <c r="J761" i="41"/>
  <c r="I761" i="41"/>
  <c r="H761" i="41"/>
  <c r="E761" i="41"/>
  <c r="F761" i="41" s="1"/>
  <c r="J760" i="41"/>
  <c r="I760" i="41"/>
  <c r="H760" i="41"/>
  <c r="E760" i="41"/>
  <c r="F760" i="41" s="1"/>
  <c r="J759" i="41"/>
  <c r="I759" i="41"/>
  <c r="H759" i="41"/>
  <c r="F759" i="41"/>
  <c r="E759" i="41"/>
  <c r="J758" i="41"/>
  <c r="I758" i="41"/>
  <c r="H758" i="41"/>
  <c r="E758" i="41"/>
  <c r="F758" i="41" s="1"/>
  <c r="J757" i="41"/>
  <c r="I757" i="41"/>
  <c r="H757" i="41"/>
  <c r="E757" i="41"/>
  <c r="F757" i="41" s="1"/>
  <c r="J756" i="41"/>
  <c r="I756" i="41"/>
  <c r="H756" i="41"/>
  <c r="E756" i="41"/>
  <c r="F756" i="41" s="1"/>
  <c r="J755" i="41"/>
  <c r="I755" i="41"/>
  <c r="H755" i="41"/>
  <c r="E755" i="41"/>
  <c r="F755" i="41" s="1"/>
  <c r="J754" i="41"/>
  <c r="I754" i="41"/>
  <c r="H754" i="41"/>
  <c r="E754" i="41"/>
  <c r="F754" i="41" s="1"/>
  <c r="J753" i="41"/>
  <c r="I753" i="41"/>
  <c r="H753" i="41"/>
  <c r="E753" i="41"/>
  <c r="F753" i="41" s="1"/>
  <c r="J752" i="41"/>
  <c r="I752" i="41"/>
  <c r="H752" i="41"/>
  <c r="E752" i="41"/>
  <c r="F752" i="41" s="1"/>
  <c r="J751" i="41"/>
  <c r="I751" i="41"/>
  <c r="H751" i="41"/>
  <c r="E751" i="41"/>
  <c r="F751" i="41" s="1"/>
  <c r="J750" i="41"/>
  <c r="I750" i="41"/>
  <c r="H750" i="41"/>
  <c r="E750" i="41"/>
  <c r="F750" i="41" s="1"/>
  <c r="J749" i="41"/>
  <c r="I749" i="41"/>
  <c r="H749" i="41"/>
  <c r="E749" i="41"/>
  <c r="F749" i="41" s="1"/>
  <c r="J748" i="41"/>
  <c r="I748" i="41"/>
  <c r="H748" i="41"/>
  <c r="E748" i="41"/>
  <c r="F748" i="41" s="1"/>
  <c r="J747" i="41"/>
  <c r="I747" i="41"/>
  <c r="H747" i="41"/>
  <c r="E747" i="41"/>
  <c r="F747" i="41" s="1"/>
  <c r="J746" i="41"/>
  <c r="I746" i="41"/>
  <c r="H746" i="41"/>
  <c r="E746" i="41"/>
  <c r="F746" i="41" s="1"/>
  <c r="J745" i="41"/>
  <c r="I745" i="41"/>
  <c r="H745" i="41"/>
  <c r="E745" i="41"/>
  <c r="F745" i="41" s="1"/>
  <c r="J744" i="41"/>
  <c r="I744" i="41"/>
  <c r="H744" i="41"/>
  <c r="E744" i="41"/>
  <c r="F744" i="41" s="1"/>
  <c r="J743" i="41"/>
  <c r="I743" i="41"/>
  <c r="H743" i="41"/>
  <c r="E743" i="41"/>
  <c r="F743" i="41" s="1"/>
  <c r="J742" i="41"/>
  <c r="I742" i="41"/>
  <c r="H742" i="41"/>
  <c r="E742" i="41"/>
  <c r="F742" i="41" s="1"/>
  <c r="J741" i="41"/>
  <c r="I741" i="41"/>
  <c r="H741" i="41"/>
  <c r="E741" i="41"/>
  <c r="F741" i="41" s="1"/>
  <c r="J740" i="41"/>
  <c r="I740" i="41"/>
  <c r="H740" i="41"/>
  <c r="E740" i="41"/>
  <c r="F740" i="41" s="1"/>
  <c r="J739" i="41"/>
  <c r="I739" i="41"/>
  <c r="H739" i="41"/>
  <c r="E739" i="41"/>
  <c r="F739" i="41" s="1"/>
  <c r="J738" i="41"/>
  <c r="I738" i="41"/>
  <c r="H738" i="41"/>
  <c r="E738" i="41"/>
  <c r="F738" i="41" s="1"/>
  <c r="J737" i="41"/>
  <c r="I737" i="41"/>
  <c r="H737" i="41"/>
  <c r="E737" i="41"/>
  <c r="F737" i="41" s="1"/>
  <c r="J736" i="41"/>
  <c r="I736" i="41"/>
  <c r="H736" i="41"/>
  <c r="E736" i="41"/>
  <c r="F736" i="41" s="1"/>
  <c r="J735" i="41"/>
  <c r="I735" i="41"/>
  <c r="H735" i="41"/>
  <c r="F735" i="41"/>
  <c r="E735" i="41"/>
  <c r="J734" i="41"/>
  <c r="I734" i="41"/>
  <c r="H734" i="41"/>
  <c r="E734" i="41"/>
  <c r="F734" i="41" s="1"/>
  <c r="J733" i="41"/>
  <c r="I733" i="41"/>
  <c r="H733" i="41"/>
  <c r="E733" i="41"/>
  <c r="F733" i="41" s="1"/>
  <c r="J732" i="41"/>
  <c r="I732" i="41"/>
  <c r="H732" i="41"/>
  <c r="E732" i="41"/>
  <c r="F732" i="41" s="1"/>
  <c r="J731" i="41"/>
  <c r="I731" i="41"/>
  <c r="H731" i="41"/>
  <c r="E731" i="41"/>
  <c r="F731" i="41" s="1"/>
  <c r="J730" i="41"/>
  <c r="I730" i="41"/>
  <c r="H730" i="41"/>
  <c r="E730" i="41"/>
  <c r="F730" i="41" s="1"/>
  <c r="J729" i="41"/>
  <c r="I729" i="41"/>
  <c r="H729" i="41"/>
  <c r="E729" i="41"/>
  <c r="F729" i="41" s="1"/>
  <c r="J728" i="41"/>
  <c r="I728" i="41"/>
  <c r="H728" i="41"/>
  <c r="E728" i="41"/>
  <c r="F728" i="41" s="1"/>
  <c r="J727" i="41"/>
  <c r="I727" i="41"/>
  <c r="H727" i="41"/>
  <c r="E727" i="41"/>
  <c r="F727" i="41" s="1"/>
  <c r="J726" i="41"/>
  <c r="I726" i="41"/>
  <c r="H726" i="41"/>
  <c r="E726" i="41"/>
  <c r="F726" i="41" s="1"/>
  <c r="J725" i="41"/>
  <c r="I725" i="41"/>
  <c r="H725" i="41"/>
  <c r="E725" i="41"/>
  <c r="F725" i="41" s="1"/>
  <c r="J724" i="41"/>
  <c r="I724" i="41"/>
  <c r="H724" i="41"/>
  <c r="E724" i="41"/>
  <c r="F724" i="41" s="1"/>
  <c r="J723" i="41"/>
  <c r="I723" i="41"/>
  <c r="H723" i="41"/>
  <c r="E723" i="41"/>
  <c r="F723" i="41" s="1"/>
  <c r="J722" i="41"/>
  <c r="I722" i="41"/>
  <c r="H722" i="41"/>
  <c r="E722" i="41"/>
  <c r="F722" i="41" s="1"/>
  <c r="J721" i="41"/>
  <c r="I721" i="41"/>
  <c r="H721" i="41"/>
  <c r="E721" i="41"/>
  <c r="F721" i="41" s="1"/>
  <c r="J720" i="41"/>
  <c r="I720" i="41"/>
  <c r="H720" i="41"/>
  <c r="E720" i="41"/>
  <c r="F720" i="41" s="1"/>
  <c r="J719" i="41"/>
  <c r="I719" i="41"/>
  <c r="H719" i="41"/>
  <c r="E719" i="41"/>
  <c r="F719" i="41" s="1"/>
  <c r="J718" i="41"/>
  <c r="I718" i="41"/>
  <c r="H718" i="41"/>
  <c r="E718" i="41"/>
  <c r="F718" i="41" s="1"/>
  <c r="J717" i="41"/>
  <c r="I717" i="41"/>
  <c r="H717" i="41"/>
  <c r="E717" i="41"/>
  <c r="F717" i="41" s="1"/>
  <c r="J716" i="41"/>
  <c r="I716" i="41"/>
  <c r="H716" i="41"/>
  <c r="E716" i="41"/>
  <c r="F716" i="41" s="1"/>
  <c r="J715" i="41"/>
  <c r="I715" i="41"/>
  <c r="H715" i="41"/>
  <c r="E715" i="41"/>
  <c r="F715" i="41" s="1"/>
  <c r="J714" i="41"/>
  <c r="I714" i="41"/>
  <c r="H714" i="41"/>
  <c r="E714" i="41"/>
  <c r="F714" i="41" s="1"/>
  <c r="J713" i="41"/>
  <c r="I713" i="41"/>
  <c r="H713" i="41"/>
  <c r="E713" i="41"/>
  <c r="F713" i="41" s="1"/>
  <c r="J712" i="41"/>
  <c r="I712" i="41"/>
  <c r="H712" i="41"/>
  <c r="E712" i="41"/>
  <c r="F712" i="41" s="1"/>
  <c r="J711" i="41"/>
  <c r="I711" i="41"/>
  <c r="H711" i="41"/>
  <c r="E711" i="41"/>
  <c r="F711" i="41" s="1"/>
  <c r="J710" i="41"/>
  <c r="I710" i="41"/>
  <c r="H710" i="41"/>
  <c r="E710" i="41"/>
  <c r="F710" i="41" s="1"/>
  <c r="J709" i="41"/>
  <c r="I709" i="41"/>
  <c r="H709" i="41"/>
  <c r="E709" i="41"/>
  <c r="F709" i="41" s="1"/>
  <c r="J708" i="41"/>
  <c r="I708" i="41"/>
  <c r="H708" i="41"/>
  <c r="E708" i="41"/>
  <c r="F708" i="41" s="1"/>
  <c r="J707" i="41"/>
  <c r="I707" i="41"/>
  <c r="H707" i="41"/>
  <c r="E707" i="41"/>
  <c r="F707" i="41" s="1"/>
  <c r="J706" i="41"/>
  <c r="I706" i="41"/>
  <c r="H706" i="41"/>
  <c r="E706" i="41"/>
  <c r="F706" i="41" s="1"/>
  <c r="J705" i="41"/>
  <c r="I705" i="41"/>
  <c r="H705" i="41"/>
  <c r="E705" i="41"/>
  <c r="F705" i="41" s="1"/>
  <c r="J704" i="41"/>
  <c r="I704" i="41"/>
  <c r="H704" i="41"/>
  <c r="E704" i="41"/>
  <c r="F704" i="41" s="1"/>
  <c r="J703" i="41"/>
  <c r="I703" i="41"/>
  <c r="H703" i="41"/>
  <c r="E703" i="41"/>
  <c r="F703" i="41" s="1"/>
  <c r="J702" i="41"/>
  <c r="I702" i="41"/>
  <c r="H702" i="41"/>
  <c r="E702" i="41"/>
  <c r="F702" i="41" s="1"/>
  <c r="J701" i="41"/>
  <c r="I701" i="41"/>
  <c r="H701" i="41"/>
  <c r="E701" i="41"/>
  <c r="F701" i="41" s="1"/>
  <c r="J700" i="41"/>
  <c r="I700" i="41"/>
  <c r="H700" i="41"/>
  <c r="E700" i="41"/>
  <c r="F700" i="41" s="1"/>
  <c r="J699" i="41"/>
  <c r="I699" i="41"/>
  <c r="H699" i="41"/>
  <c r="E699" i="41"/>
  <c r="F699" i="41" s="1"/>
  <c r="J698" i="41"/>
  <c r="I698" i="41"/>
  <c r="H698" i="41"/>
  <c r="E698" i="41"/>
  <c r="F698" i="41" s="1"/>
  <c r="J697" i="41"/>
  <c r="I697" i="41"/>
  <c r="H697" i="41"/>
  <c r="E697" i="41"/>
  <c r="F697" i="41" s="1"/>
  <c r="J696" i="41"/>
  <c r="I696" i="41"/>
  <c r="H696" i="41"/>
  <c r="E696" i="41"/>
  <c r="F696" i="41" s="1"/>
  <c r="J695" i="41"/>
  <c r="I695" i="41"/>
  <c r="H695" i="41"/>
  <c r="E695" i="41"/>
  <c r="F695" i="41" s="1"/>
  <c r="J694" i="41"/>
  <c r="I694" i="41"/>
  <c r="H694" i="41"/>
  <c r="E694" i="41"/>
  <c r="F694" i="41" s="1"/>
  <c r="J693" i="41"/>
  <c r="I693" i="41"/>
  <c r="H693" i="41"/>
  <c r="E693" i="41"/>
  <c r="F693" i="41" s="1"/>
  <c r="J692" i="41"/>
  <c r="I692" i="41"/>
  <c r="H692" i="41"/>
  <c r="E692" i="41"/>
  <c r="F692" i="41" s="1"/>
  <c r="J691" i="41"/>
  <c r="I691" i="41"/>
  <c r="H691" i="41"/>
  <c r="E691" i="41"/>
  <c r="F691" i="41" s="1"/>
  <c r="J690" i="41"/>
  <c r="I690" i="41"/>
  <c r="H690" i="41"/>
  <c r="E690" i="41"/>
  <c r="F690" i="41" s="1"/>
  <c r="J689" i="41"/>
  <c r="I689" i="41"/>
  <c r="H689" i="41"/>
  <c r="E689" i="41"/>
  <c r="F689" i="41" s="1"/>
  <c r="J688" i="41"/>
  <c r="I688" i="41"/>
  <c r="H688" i="41"/>
  <c r="E688" i="41"/>
  <c r="F688" i="41" s="1"/>
  <c r="J687" i="41"/>
  <c r="I687" i="41"/>
  <c r="H687" i="41"/>
  <c r="E687" i="41"/>
  <c r="F687" i="41" s="1"/>
  <c r="J686" i="41"/>
  <c r="I686" i="41"/>
  <c r="H686" i="41"/>
  <c r="E686" i="41"/>
  <c r="F686" i="41" s="1"/>
  <c r="J685" i="41"/>
  <c r="I685" i="41"/>
  <c r="H685" i="41"/>
  <c r="E685" i="41"/>
  <c r="F685" i="41" s="1"/>
  <c r="J684" i="41"/>
  <c r="I684" i="41"/>
  <c r="H684" i="41"/>
  <c r="E684" i="41"/>
  <c r="F684" i="41" s="1"/>
  <c r="J683" i="41"/>
  <c r="I683" i="41"/>
  <c r="H683" i="41"/>
  <c r="F683" i="41"/>
  <c r="E683" i="41"/>
  <c r="J682" i="41"/>
  <c r="I682" i="41"/>
  <c r="H682" i="41"/>
  <c r="E682" i="41"/>
  <c r="F682" i="41" s="1"/>
  <c r="J681" i="41"/>
  <c r="I681" i="41"/>
  <c r="H681" i="41"/>
  <c r="E681" i="41"/>
  <c r="F681" i="41" s="1"/>
  <c r="J680" i="41"/>
  <c r="I680" i="41"/>
  <c r="H680" i="41"/>
  <c r="E680" i="41"/>
  <c r="F680" i="41" s="1"/>
  <c r="J679" i="41"/>
  <c r="I679" i="41"/>
  <c r="H679" i="41"/>
  <c r="E679" i="41"/>
  <c r="F679" i="41" s="1"/>
  <c r="J678" i="41"/>
  <c r="I678" i="41"/>
  <c r="H678" i="41"/>
  <c r="E678" i="41"/>
  <c r="F678" i="41" s="1"/>
  <c r="J677" i="41"/>
  <c r="I677" i="41"/>
  <c r="H677" i="41"/>
  <c r="E677" i="41"/>
  <c r="F677" i="41" s="1"/>
  <c r="J676" i="41"/>
  <c r="I676" i="41"/>
  <c r="H676" i="41"/>
  <c r="E676" i="41"/>
  <c r="F676" i="41" s="1"/>
  <c r="J675" i="41"/>
  <c r="I675" i="41"/>
  <c r="H675" i="41"/>
  <c r="E675" i="41"/>
  <c r="F675" i="41" s="1"/>
  <c r="J674" i="41"/>
  <c r="I674" i="41"/>
  <c r="H674" i="41"/>
  <c r="E674" i="41"/>
  <c r="F674" i="41" s="1"/>
  <c r="J673" i="41"/>
  <c r="I673" i="41"/>
  <c r="H673" i="41"/>
  <c r="E673" i="41"/>
  <c r="F673" i="41" s="1"/>
  <c r="J672" i="41"/>
  <c r="I672" i="41"/>
  <c r="H672" i="41"/>
  <c r="E672" i="41"/>
  <c r="F672" i="41" s="1"/>
  <c r="J671" i="41"/>
  <c r="I671" i="41"/>
  <c r="H671" i="41"/>
  <c r="E671" i="41"/>
  <c r="F671" i="41" s="1"/>
  <c r="J670" i="41"/>
  <c r="I670" i="41"/>
  <c r="H670" i="41"/>
  <c r="E670" i="41"/>
  <c r="F670" i="41" s="1"/>
  <c r="J669" i="41"/>
  <c r="I669" i="41"/>
  <c r="H669" i="41"/>
  <c r="E669" i="41"/>
  <c r="F669" i="41" s="1"/>
  <c r="J668" i="41"/>
  <c r="I668" i="41"/>
  <c r="H668" i="41"/>
  <c r="E668" i="41"/>
  <c r="F668" i="41" s="1"/>
  <c r="J667" i="41"/>
  <c r="I667" i="41"/>
  <c r="H667" i="41"/>
  <c r="E667" i="41"/>
  <c r="F667" i="41" s="1"/>
  <c r="J666" i="41"/>
  <c r="I666" i="41"/>
  <c r="H666" i="41"/>
  <c r="E666" i="41"/>
  <c r="F666" i="41" s="1"/>
  <c r="J665" i="41"/>
  <c r="I665" i="41"/>
  <c r="H665" i="41"/>
  <c r="E665" i="41"/>
  <c r="F665" i="41" s="1"/>
  <c r="J664" i="41"/>
  <c r="I664" i="41"/>
  <c r="H664" i="41"/>
  <c r="E664" i="41"/>
  <c r="F664" i="41" s="1"/>
  <c r="J663" i="41"/>
  <c r="I663" i="41"/>
  <c r="H663" i="41"/>
  <c r="E663" i="41"/>
  <c r="F663" i="41" s="1"/>
  <c r="J662" i="41"/>
  <c r="I662" i="41"/>
  <c r="H662" i="41"/>
  <c r="E662" i="41"/>
  <c r="F662" i="41" s="1"/>
  <c r="J661" i="41"/>
  <c r="I661" i="41"/>
  <c r="H661" i="41"/>
  <c r="E661" i="41"/>
  <c r="F661" i="41" s="1"/>
  <c r="J660" i="41"/>
  <c r="I660" i="41"/>
  <c r="H660" i="41"/>
  <c r="F660" i="41"/>
  <c r="E660" i="41"/>
  <c r="J659" i="41"/>
  <c r="I659" i="41"/>
  <c r="H659" i="41"/>
  <c r="E659" i="41"/>
  <c r="F659" i="41" s="1"/>
  <c r="J658" i="41"/>
  <c r="I658" i="41"/>
  <c r="H658" i="41"/>
  <c r="E658" i="41"/>
  <c r="F658" i="41" s="1"/>
  <c r="J657" i="41"/>
  <c r="I657" i="41"/>
  <c r="H657" i="41"/>
  <c r="E657" i="41"/>
  <c r="F657" i="41" s="1"/>
  <c r="J656" i="41"/>
  <c r="I656" i="41"/>
  <c r="H656" i="41"/>
  <c r="E656" i="41"/>
  <c r="F656" i="41" s="1"/>
  <c r="J655" i="41"/>
  <c r="I655" i="41"/>
  <c r="H655" i="41"/>
  <c r="E655" i="41"/>
  <c r="F655" i="41" s="1"/>
  <c r="J654" i="41"/>
  <c r="I654" i="41"/>
  <c r="H654" i="41"/>
  <c r="E654" i="41"/>
  <c r="F654" i="41" s="1"/>
  <c r="J653" i="41"/>
  <c r="I653" i="41"/>
  <c r="H653" i="41"/>
  <c r="E653" i="41"/>
  <c r="F653" i="41" s="1"/>
  <c r="J652" i="41"/>
  <c r="I652" i="41"/>
  <c r="H652" i="41"/>
  <c r="E652" i="41"/>
  <c r="F652" i="41" s="1"/>
  <c r="J651" i="41"/>
  <c r="I651" i="41"/>
  <c r="H651" i="41"/>
  <c r="E651" i="41"/>
  <c r="F651" i="41" s="1"/>
  <c r="J650" i="41"/>
  <c r="I650" i="41"/>
  <c r="H650" i="41"/>
  <c r="E650" i="41"/>
  <c r="F650" i="41" s="1"/>
  <c r="J649" i="41"/>
  <c r="I649" i="41"/>
  <c r="H649" i="41"/>
  <c r="E649" i="41"/>
  <c r="F649" i="41" s="1"/>
  <c r="J648" i="41"/>
  <c r="I648" i="41"/>
  <c r="H648" i="41"/>
  <c r="E648" i="41"/>
  <c r="F648" i="41" s="1"/>
  <c r="J647" i="41"/>
  <c r="I647" i="41"/>
  <c r="H647" i="41"/>
  <c r="E647" i="41"/>
  <c r="F647" i="41" s="1"/>
  <c r="J646" i="41"/>
  <c r="I646" i="41"/>
  <c r="H646" i="41"/>
  <c r="E646" i="41"/>
  <c r="F646" i="41" s="1"/>
  <c r="J645" i="41"/>
  <c r="I645" i="41"/>
  <c r="H645" i="41"/>
  <c r="E645" i="41"/>
  <c r="F645" i="41" s="1"/>
  <c r="J644" i="41"/>
  <c r="I644" i="41"/>
  <c r="H644" i="41"/>
  <c r="E644" i="41"/>
  <c r="F644" i="41" s="1"/>
  <c r="J643" i="41"/>
  <c r="I643" i="41"/>
  <c r="H643" i="41"/>
  <c r="E643" i="41"/>
  <c r="F643" i="41" s="1"/>
  <c r="J642" i="41"/>
  <c r="I642" i="41"/>
  <c r="H642" i="41"/>
  <c r="E642" i="41"/>
  <c r="F642" i="41" s="1"/>
  <c r="J641" i="41"/>
  <c r="I641" i="41"/>
  <c r="H641" i="41"/>
  <c r="E641" i="41"/>
  <c r="F641" i="41" s="1"/>
  <c r="J640" i="41"/>
  <c r="I640" i="41"/>
  <c r="H640" i="41"/>
  <c r="E640" i="41"/>
  <c r="F640" i="41" s="1"/>
  <c r="J639" i="41"/>
  <c r="I639" i="41"/>
  <c r="H639" i="41"/>
  <c r="E639" i="41"/>
  <c r="F639" i="41" s="1"/>
  <c r="J638" i="41"/>
  <c r="I638" i="41"/>
  <c r="H638" i="41"/>
  <c r="E638" i="41"/>
  <c r="F638" i="41" s="1"/>
  <c r="J637" i="41"/>
  <c r="I637" i="41"/>
  <c r="H637" i="41"/>
  <c r="E637" i="41"/>
  <c r="F637" i="41" s="1"/>
  <c r="J636" i="41"/>
  <c r="I636" i="41"/>
  <c r="H636" i="41"/>
  <c r="E636" i="41"/>
  <c r="F636" i="41" s="1"/>
  <c r="J635" i="41"/>
  <c r="I635" i="41"/>
  <c r="H635" i="41"/>
  <c r="E635" i="41"/>
  <c r="F635" i="41" s="1"/>
  <c r="J634" i="41"/>
  <c r="I634" i="41"/>
  <c r="H634" i="41"/>
  <c r="E634" i="41"/>
  <c r="F634" i="41" s="1"/>
  <c r="J633" i="41"/>
  <c r="I633" i="41"/>
  <c r="H633" i="41"/>
  <c r="E633" i="41"/>
  <c r="F633" i="41" s="1"/>
  <c r="J632" i="41"/>
  <c r="I632" i="41"/>
  <c r="H632" i="41"/>
  <c r="E632" i="41"/>
  <c r="F632" i="41" s="1"/>
  <c r="J631" i="41"/>
  <c r="I631" i="41"/>
  <c r="H631" i="41"/>
  <c r="F631" i="41"/>
  <c r="E631" i="41"/>
  <c r="J630" i="41"/>
  <c r="I630" i="41"/>
  <c r="H630" i="41"/>
  <c r="E630" i="41"/>
  <c r="F630" i="41" s="1"/>
  <c r="J629" i="41"/>
  <c r="I629" i="41"/>
  <c r="H629" i="41"/>
  <c r="E629" i="41"/>
  <c r="F629" i="41" s="1"/>
  <c r="J628" i="41"/>
  <c r="I628" i="41"/>
  <c r="H628" i="41"/>
  <c r="E628" i="41"/>
  <c r="F628" i="41" s="1"/>
  <c r="J627" i="41"/>
  <c r="I627" i="41"/>
  <c r="H627" i="41"/>
  <c r="E627" i="41"/>
  <c r="F627" i="41" s="1"/>
  <c r="J626" i="41"/>
  <c r="I626" i="41"/>
  <c r="H626" i="41"/>
  <c r="E626" i="41"/>
  <c r="F626" i="41" s="1"/>
  <c r="J625" i="41"/>
  <c r="I625" i="41"/>
  <c r="H625" i="41"/>
  <c r="E625" i="41"/>
  <c r="F625" i="41" s="1"/>
  <c r="J624" i="41"/>
  <c r="I624" i="41"/>
  <c r="H624" i="41"/>
  <c r="E624" i="41"/>
  <c r="F624" i="41" s="1"/>
  <c r="J623" i="41"/>
  <c r="I623" i="41"/>
  <c r="H623" i="41"/>
  <c r="E623" i="41"/>
  <c r="F623" i="41" s="1"/>
  <c r="J622" i="41"/>
  <c r="I622" i="41"/>
  <c r="H622" i="41"/>
  <c r="E622" i="41"/>
  <c r="F622" i="41" s="1"/>
  <c r="J621" i="41"/>
  <c r="I621" i="41"/>
  <c r="H621" i="41"/>
  <c r="E621" i="41"/>
  <c r="F621" i="41" s="1"/>
  <c r="J620" i="41"/>
  <c r="I620" i="41"/>
  <c r="H620" i="41"/>
  <c r="E620" i="41"/>
  <c r="F620" i="41" s="1"/>
  <c r="J619" i="41"/>
  <c r="I619" i="41"/>
  <c r="H619" i="41"/>
  <c r="E619" i="41"/>
  <c r="F619" i="41" s="1"/>
  <c r="J618" i="41"/>
  <c r="I618" i="41"/>
  <c r="H618" i="41"/>
  <c r="E618" i="41"/>
  <c r="F618" i="41" s="1"/>
  <c r="J617" i="41"/>
  <c r="I617" i="41"/>
  <c r="H617" i="41"/>
  <c r="E617" i="41"/>
  <c r="F617" i="41" s="1"/>
  <c r="J616" i="41"/>
  <c r="I616" i="41"/>
  <c r="H616" i="41"/>
  <c r="E616" i="41"/>
  <c r="F616" i="41" s="1"/>
  <c r="J615" i="41"/>
  <c r="I615" i="41"/>
  <c r="H615" i="41"/>
  <c r="E615" i="41"/>
  <c r="F615" i="41" s="1"/>
  <c r="J614" i="41"/>
  <c r="I614" i="41"/>
  <c r="H614" i="41"/>
  <c r="E614" i="41"/>
  <c r="F614" i="41" s="1"/>
  <c r="J613" i="41"/>
  <c r="I613" i="41"/>
  <c r="H613" i="41"/>
  <c r="E613" i="41"/>
  <c r="F613" i="41" s="1"/>
  <c r="J612" i="41"/>
  <c r="I612" i="41"/>
  <c r="H612" i="41"/>
  <c r="E612" i="41"/>
  <c r="F612" i="41" s="1"/>
  <c r="J611" i="41"/>
  <c r="I611" i="41"/>
  <c r="H611" i="41"/>
  <c r="E611" i="41"/>
  <c r="F611" i="41" s="1"/>
  <c r="J610" i="41"/>
  <c r="I610" i="41"/>
  <c r="H610" i="41"/>
  <c r="E610" i="41"/>
  <c r="F610" i="41" s="1"/>
  <c r="J609" i="41"/>
  <c r="I609" i="41"/>
  <c r="H609" i="41"/>
  <c r="E609" i="41"/>
  <c r="F609" i="41" s="1"/>
  <c r="J608" i="41"/>
  <c r="I608" i="41"/>
  <c r="H608" i="41"/>
  <c r="E608" i="41"/>
  <c r="F608" i="41" s="1"/>
  <c r="J607" i="41"/>
  <c r="I607" i="41"/>
  <c r="H607" i="41"/>
  <c r="E607" i="41"/>
  <c r="F607" i="41" s="1"/>
  <c r="J606" i="41"/>
  <c r="I606" i="41"/>
  <c r="H606" i="41"/>
  <c r="E606" i="41"/>
  <c r="F606" i="41" s="1"/>
  <c r="J605" i="41"/>
  <c r="I605" i="41"/>
  <c r="H605" i="41"/>
  <c r="E605" i="41"/>
  <c r="F605" i="41" s="1"/>
  <c r="J604" i="41"/>
  <c r="I604" i="41"/>
  <c r="H604" i="41"/>
  <c r="E604" i="41"/>
  <c r="F604" i="41" s="1"/>
  <c r="J603" i="41"/>
  <c r="I603" i="41"/>
  <c r="H603" i="41"/>
  <c r="E603" i="41"/>
  <c r="F603" i="41" s="1"/>
  <c r="J602" i="41"/>
  <c r="I602" i="41"/>
  <c r="H602" i="41"/>
  <c r="E602" i="41"/>
  <c r="F602" i="41" s="1"/>
  <c r="J601" i="41"/>
  <c r="I601" i="41"/>
  <c r="H601" i="41"/>
  <c r="E601" i="41"/>
  <c r="F601" i="41" s="1"/>
  <c r="J600" i="41"/>
  <c r="I600" i="41"/>
  <c r="H600" i="41"/>
  <c r="E600" i="41"/>
  <c r="F600" i="41" s="1"/>
  <c r="J599" i="41"/>
  <c r="I599" i="41"/>
  <c r="H599" i="41"/>
  <c r="E599" i="41"/>
  <c r="F599" i="41" s="1"/>
  <c r="J598" i="41"/>
  <c r="I598" i="41"/>
  <c r="H598" i="41"/>
  <c r="E598" i="41"/>
  <c r="F598" i="41" s="1"/>
  <c r="J597" i="41"/>
  <c r="I597" i="41"/>
  <c r="H597" i="41"/>
  <c r="E597" i="41"/>
  <c r="F597" i="41" s="1"/>
  <c r="J596" i="41"/>
  <c r="I596" i="41"/>
  <c r="H596" i="41"/>
  <c r="E596" i="41"/>
  <c r="F596" i="41" s="1"/>
  <c r="J595" i="41"/>
  <c r="I595" i="41"/>
  <c r="H595" i="41"/>
  <c r="E595" i="41"/>
  <c r="F595" i="41" s="1"/>
  <c r="J594" i="41"/>
  <c r="I594" i="41"/>
  <c r="H594" i="41"/>
  <c r="E594" i="41"/>
  <c r="F594" i="41" s="1"/>
  <c r="J593" i="41"/>
  <c r="I593" i="41"/>
  <c r="H593" i="41"/>
  <c r="E593" i="41"/>
  <c r="F593" i="41" s="1"/>
  <c r="J592" i="41"/>
  <c r="I592" i="41"/>
  <c r="H592" i="41"/>
  <c r="E592" i="41"/>
  <c r="F592" i="41" s="1"/>
  <c r="J591" i="41"/>
  <c r="I591" i="41"/>
  <c r="H591" i="41"/>
  <c r="E591" i="41"/>
  <c r="F591" i="41" s="1"/>
  <c r="J590" i="41"/>
  <c r="I590" i="41"/>
  <c r="H590" i="41"/>
  <c r="E590" i="41"/>
  <c r="F590" i="41" s="1"/>
  <c r="J589" i="41"/>
  <c r="I589" i="41"/>
  <c r="H589" i="41"/>
  <c r="E589" i="41"/>
  <c r="F589" i="41" s="1"/>
  <c r="J588" i="41"/>
  <c r="I588" i="41"/>
  <c r="H588" i="41"/>
  <c r="E588" i="41"/>
  <c r="F588" i="41" s="1"/>
  <c r="J587" i="41"/>
  <c r="I587" i="41"/>
  <c r="H587" i="41"/>
  <c r="E587" i="41"/>
  <c r="F587" i="41" s="1"/>
  <c r="J586" i="41"/>
  <c r="I586" i="41"/>
  <c r="H586" i="41"/>
  <c r="E586" i="41"/>
  <c r="F586" i="41" s="1"/>
  <c r="J585" i="41"/>
  <c r="I585" i="41"/>
  <c r="H585" i="41"/>
  <c r="E585" i="41"/>
  <c r="F585" i="41" s="1"/>
  <c r="J584" i="41"/>
  <c r="I584" i="41"/>
  <c r="H584" i="41"/>
  <c r="E584" i="41"/>
  <c r="F584" i="41" s="1"/>
  <c r="J583" i="41"/>
  <c r="I583" i="41"/>
  <c r="H583" i="41"/>
  <c r="E583" i="41"/>
  <c r="F583" i="41" s="1"/>
  <c r="J582" i="41"/>
  <c r="I582" i="41"/>
  <c r="H582" i="41"/>
  <c r="E582" i="41"/>
  <c r="F582" i="41" s="1"/>
  <c r="J581" i="41"/>
  <c r="I581" i="41"/>
  <c r="H581" i="41"/>
  <c r="E581" i="41"/>
  <c r="F581" i="41" s="1"/>
  <c r="J580" i="41"/>
  <c r="I580" i="41"/>
  <c r="H580" i="41"/>
  <c r="E580" i="41"/>
  <c r="F580" i="41" s="1"/>
  <c r="J579" i="41"/>
  <c r="I579" i="41"/>
  <c r="H579" i="41"/>
  <c r="E579" i="41"/>
  <c r="F579" i="41" s="1"/>
  <c r="J578" i="41"/>
  <c r="I578" i="41"/>
  <c r="H578" i="41"/>
  <c r="E578" i="41"/>
  <c r="F578" i="41" s="1"/>
  <c r="J577" i="41"/>
  <c r="I577" i="41"/>
  <c r="H577" i="41"/>
  <c r="E577" i="41"/>
  <c r="F577" i="41" s="1"/>
  <c r="J576" i="41"/>
  <c r="I576" i="41"/>
  <c r="H576" i="41"/>
  <c r="E576" i="41"/>
  <c r="F576" i="41" s="1"/>
  <c r="J575" i="41"/>
  <c r="I575" i="41"/>
  <c r="H575" i="41"/>
  <c r="E575" i="41"/>
  <c r="F575" i="41" s="1"/>
  <c r="J574" i="41"/>
  <c r="I574" i="41"/>
  <c r="H574" i="41"/>
  <c r="E574" i="41"/>
  <c r="F574" i="41" s="1"/>
  <c r="J573" i="41"/>
  <c r="I573" i="41"/>
  <c r="H573" i="41"/>
  <c r="E573" i="41"/>
  <c r="F573" i="41" s="1"/>
  <c r="J572" i="41"/>
  <c r="I572" i="41"/>
  <c r="H572" i="41"/>
  <c r="E572" i="41"/>
  <c r="F572" i="41" s="1"/>
  <c r="J571" i="41"/>
  <c r="I571" i="41"/>
  <c r="H571" i="41"/>
  <c r="E571" i="41"/>
  <c r="F571" i="41" s="1"/>
  <c r="J570" i="41"/>
  <c r="I570" i="41"/>
  <c r="H570" i="41"/>
  <c r="E570" i="41"/>
  <c r="F570" i="41" s="1"/>
  <c r="J569" i="41"/>
  <c r="I569" i="41"/>
  <c r="H569" i="41"/>
  <c r="E569" i="41"/>
  <c r="F569" i="41" s="1"/>
  <c r="J568" i="41"/>
  <c r="I568" i="41"/>
  <c r="H568" i="41"/>
  <c r="E568" i="41"/>
  <c r="F568" i="41" s="1"/>
  <c r="J567" i="41"/>
  <c r="I567" i="41"/>
  <c r="H567" i="41"/>
  <c r="E567" i="41"/>
  <c r="F567" i="41" s="1"/>
  <c r="J566" i="41"/>
  <c r="I566" i="41"/>
  <c r="H566" i="41"/>
  <c r="E566" i="41"/>
  <c r="F566" i="41" s="1"/>
  <c r="J565" i="41"/>
  <c r="I565" i="41"/>
  <c r="H565" i="41"/>
  <c r="E565" i="41"/>
  <c r="F565" i="41" s="1"/>
  <c r="J564" i="41"/>
  <c r="I564" i="41"/>
  <c r="H564" i="41"/>
  <c r="E564" i="41"/>
  <c r="F564" i="41" s="1"/>
  <c r="J563" i="41"/>
  <c r="I563" i="41"/>
  <c r="H563" i="41"/>
  <c r="E563" i="41"/>
  <c r="F563" i="41" s="1"/>
  <c r="J562" i="41"/>
  <c r="I562" i="41"/>
  <c r="H562" i="41"/>
  <c r="E562" i="41"/>
  <c r="F562" i="41" s="1"/>
  <c r="J561" i="41"/>
  <c r="I561" i="41"/>
  <c r="H561" i="41"/>
  <c r="E561" i="41"/>
  <c r="F561" i="41" s="1"/>
  <c r="J560" i="41"/>
  <c r="I560" i="41"/>
  <c r="H560" i="41"/>
  <c r="E560" i="41"/>
  <c r="F560" i="41" s="1"/>
  <c r="J559" i="41"/>
  <c r="I559" i="41"/>
  <c r="H559" i="41"/>
  <c r="E559" i="41"/>
  <c r="F559" i="41" s="1"/>
  <c r="J558" i="41"/>
  <c r="I558" i="41"/>
  <c r="H558" i="41"/>
  <c r="E558" i="41"/>
  <c r="F558" i="41" s="1"/>
  <c r="J557" i="41"/>
  <c r="I557" i="41"/>
  <c r="H557" i="41"/>
  <c r="E557" i="41"/>
  <c r="F557" i="41" s="1"/>
  <c r="J556" i="41"/>
  <c r="I556" i="41"/>
  <c r="H556" i="41"/>
  <c r="E556" i="41"/>
  <c r="F556" i="41" s="1"/>
  <c r="J555" i="41"/>
  <c r="I555" i="41"/>
  <c r="H555" i="41"/>
  <c r="E555" i="41"/>
  <c r="F555" i="41" s="1"/>
  <c r="J554" i="41"/>
  <c r="I554" i="41"/>
  <c r="H554" i="41"/>
  <c r="E554" i="41"/>
  <c r="F554" i="41" s="1"/>
  <c r="J553" i="41"/>
  <c r="I553" i="41"/>
  <c r="H553" i="41"/>
  <c r="E553" i="41"/>
  <c r="F553" i="41" s="1"/>
  <c r="J552" i="41"/>
  <c r="I552" i="41"/>
  <c r="H552" i="41"/>
  <c r="E552" i="41"/>
  <c r="F552" i="41" s="1"/>
  <c r="J551" i="41"/>
  <c r="I551" i="41"/>
  <c r="H551" i="41"/>
  <c r="E551" i="41"/>
  <c r="F551" i="41" s="1"/>
  <c r="J550" i="41"/>
  <c r="I550" i="41"/>
  <c r="H550" i="41"/>
  <c r="E550" i="41"/>
  <c r="F550" i="41" s="1"/>
  <c r="J549" i="41"/>
  <c r="I549" i="41"/>
  <c r="H549" i="41"/>
  <c r="E549" i="41"/>
  <c r="F549" i="41" s="1"/>
  <c r="J548" i="41"/>
  <c r="I548" i="41"/>
  <c r="H548" i="41"/>
  <c r="E548" i="41"/>
  <c r="F548" i="41" s="1"/>
  <c r="J547" i="41"/>
  <c r="I547" i="41"/>
  <c r="H547" i="41"/>
  <c r="E547" i="41"/>
  <c r="F547" i="41" s="1"/>
  <c r="J546" i="41"/>
  <c r="I546" i="41"/>
  <c r="H546" i="41"/>
  <c r="E546" i="41"/>
  <c r="F546" i="41" s="1"/>
  <c r="J545" i="41"/>
  <c r="I545" i="41"/>
  <c r="H545" i="41"/>
  <c r="E545" i="41"/>
  <c r="F545" i="41" s="1"/>
  <c r="J544" i="41"/>
  <c r="I544" i="41"/>
  <c r="H544" i="41"/>
  <c r="E544" i="41"/>
  <c r="F544" i="41" s="1"/>
  <c r="J543" i="41"/>
  <c r="I543" i="41"/>
  <c r="H543" i="41"/>
  <c r="E543" i="41"/>
  <c r="F543" i="41" s="1"/>
  <c r="J542" i="41"/>
  <c r="I542" i="41"/>
  <c r="H542" i="41"/>
  <c r="E542" i="41"/>
  <c r="F542" i="41" s="1"/>
  <c r="J541" i="41"/>
  <c r="I541" i="41"/>
  <c r="H541" i="41"/>
  <c r="E541" i="41"/>
  <c r="F541" i="41" s="1"/>
  <c r="J540" i="41"/>
  <c r="I540" i="41"/>
  <c r="H540" i="41"/>
  <c r="E540" i="41"/>
  <c r="F540" i="41" s="1"/>
  <c r="J539" i="41"/>
  <c r="I539" i="41"/>
  <c r="H539" i="41"/>
  <c r="E539" i="41"/>
  <c r="F539" i="41" s="1"/>
  <c r="J538" i="41"/>
  <c r="I538" i="41"/>
  <c r="H538" i="41"/>
  <c r="E538" i="41"/>
  <c r="F538" i="41" s="1"/>
  <c r="J537" i="41"/>
  <c r="I537" i="41"/>
  <c r="H537" i="41"/>
  <c r="E537" i="41"/>
  <c r="F537" i="41" s="1"/>
  <c r="J536" i="41"/>
  <c r="I536" i="41"/>
  <c r="H536" i="41"/>
  <c r="E536" i="41"/>
  <c r="F536" i="41" s="1"/>
  <c r="J535" i="41"/>
  <c r="I535" i="41"/>
  <c r="H535" i="41"/>
  <c r="E535" i="41"/>
  <c r="F535" i="41" s="1"/>
  <c r="J534" i="41"/>
  <c r="I534" i="41"/>
  <c r="H534" i="41"/>
  <c r="E534" i="41"/>
  <c r="F534" i="41" s="1"/>
  <c r="J533" i="41"/>
  <c r="I533" i="41"/>
  <c r="H533" i="41"/>
  <c r="E533" i="41"/>
  <c r="F533" i="41" s="1"/>
  <c r="J532" i="41"/>
  <c r="I532" i="41"/>
  <c r="H532" i="41"/>
  <c r="E532" i="41"/>
  <c r="F532" i="41" s="1"/>
  <c r="J531" i="41"/>
  <c r="I531" i="41"/>
  <c r="H531" i="41"/>
  <c r="E531" i="41"/>
  <c r="F531" i="41" s="1"/>
  <c r="J530" i="41"/>
  <c r="I530" i="41"/>
  <c r="H530" i="41"/>
  <c r="E530" i="41"/>
  <c r="F530" i="41" s="1"/>
  <c r="J529" i="41"/>
  <c r="I529" i="41"/>
  <c r="H529" i="41"/>
  <c r="E529" i="41"/>
  <c r="F529" i="41" s="1"/>
  <c r="J528" i="41"/>
  <c r="I528" i="41"/>
  <c r="H528" i="41"/>
  <c r="E528" i="41"/>
  <c r="F528" i="41" s="1"/>
  <c r="J527" i="41"/>
  <c r="I527" i="41"/>
  <c r="H527" i="41"/>
  <c r="E527" i="41"/>
  <c r="F527" i="41" s="1"/>
  <c r="J526" i="41"/>
  <c r="I526" i="41"/>
  <c r="H526" i="41"/>
  <c r="E526" i="41"/>
  <c r="F526" i="41" s="1"/>
  <c r="J525" i="41"/>
  <c r="I525" i="41"/>
  <c r="H525" i="41"/>
  <c r="E525" i="41"/>
  <c r="F525" i="41" s="1"/>
  <c r="J524" i="41"/>
  <c r="I524" i="41"/>
  <c r="H524" i="41"/>
  <c r="E524" i="41"/>
  <c r="F524" i="41" s="1"/>
  <c r="J523" i="41"/>
  <c r="I523" i="41"/>
  <c r="H523" i="41"/>
  <c r="E523" i="41"/>
  <c r="F523" i="41" s="1"/>
  <c r="J522" i="41"/>
  <c r="I522" i="41"/>
  <c r="H522" i="41"/>
  <c r="E522" i="41"/>
  <c r="F522" i="41" s="1"/>
  <c r="J521" i="41"/>
  <c r="I521" i="41"/>
  <c r="H521" i="41"/>
  <c r="E521" i="41"/>
  <c r="F521" i="41" s="1"/>
  <c r="J520" i="41"/>
  <c r="I520" i="41"/>
  <c r="H520" i="41"/>
  <c r="E520" i="41"/>
  <c r="F520" i="41" s="1"/>
  <c r="J519" i="41"/>
  <c r="I519" i="41"/>
  <c r="H519" i="41"/>
  <c r="E519" i="41"/>
  <c r="F519" i="41" s="1"/>
  <c r="J518" i="41"/>
  <c r="I518" i="41"/>
  <c r="H518" i="41"/>
  <c r="E518" i="41"/>
  <c r="F518" i="41" s="1"/>
  <c r="J517" i="41"/>
  <c r="I517" i="41"/>
  <c r="H517" i="41"/>
  <c r="E517" i="41"/>
  <c r="F517" i="41" s="1"/>
  <c r="J516" i="41"/>
  <c r="I516" i="41"/>
  <c r="H516" i="41"/>
  <c r="E516" i="41"/>
  <c r="F516" i="41" s="1"/>
  <c r="J515" i="41"/>
  <c r="I515" i="41"/>
  <c r="H515" i="41"/>
  <c r="E515" i="41"/>
  <c r="F515" i="41" s="1"/>
  <c r="J514" i="41"/>
  <c r="I514" i="41"/>
  <c r="H514" i="41"/>
  <c r="E514" i="41"/>
  <c r="F514" i="41" s="1"/>
  <c r="J513" i="41"/>
  <c r="I513" i="41"/>
  <c r="H513" i="41"/>
  <c r="E513" i="41"/>
  <c r="F513" i="41" s="1"/>
  <c r="J512" i="41"/>
  <c r="I512" i="41"/>
  <c r="H512" i="41"/>
  <c r="E512" i="41"/>
  <c r="F512" i="41" s="1"/>
  <c r="J511" i="41"/>
  <c r="I511" i="41"/>
  <c r="H511" i="41"/>
  <c r="E511" i="41"/>
  <c r="F511" i="41" s="1"/>
  <c r="J510" i="41"/>
  <c r="I510" i="41"/>
  <c r="H510" i="41"/>
  <c r="E510" i="41"/>
  <c r="F510" i="41" s="1"/>
  <c r="J509" i="41"/>
  <c r="I509" i="41"/>
  <c r="H509" i="41"/>
  <c r="E509" i="41"/>
  <c r="F509" i="41" s="1"/>
  <c r="J508" i="41"/>
  <c r="I508" i="41"/>
  <c r="H508" i="41"/>
  <c r="E508" i="41"/>
  <c r="F508" i="41" s="1"/>
  <c r="J507" i="41"/>
  <c r="I507" i="41"/>
  <c r="H507" i="41"/>
  <c r="E507" i="41"/>
  <c r="F507" i="41" s="1"/>
  <c r="J506" i="41"/>
  <c r="I506" i="41"/>
  <c r="H506" i="41"/>
  <c r="E506" i="41"/>
  <c r="F506" i="41" s="1"/>
  <c r="J505" i="41"/>
  <c r="I505" i="41"/>
  <c r="H505" i="41"/>
  <c r="E505" i="41"/>
  <c r="F505" i="41" s="1"/>
  <c r="J504" i="41"/>
  <c r="I504" i="41"/>
  <c r="H504" i="41"/>
  <c r="E504" i="41"/>
  <c r="F504" i="41" s="1"/>
  <c r="J503" i="41"/>
  <c r="I503" i="41"/>
  <c r="H503" i="41"/>
  <c r="E503" i="41"/>
  <c r="F503" i="41" s="1"/>
  <c r="J502" i="41"/>
  <c r="I502" i="41"/>
  <c r="H502" i="41"/>
  <c r="E502" i="41"/>
  <c r="F502" i="41" s="1"/>
  <c r="J501" i="41"/>
  <c r="I501" i="41"/>
  <c r="H501" i="41"/>
  <c r="E501" i="41"/>
  <c r="F501" i="41" s="1"/>
  <c r="J500" i="41"/>
  <c r="I500" i="41"/>
  <c r="H500" i="41"/>
  <c r="E500" i="41"/>
  <c r="F500" i="41" s="1"/>
  <c r="J499" i="41"/>
  <c r="I499" i="41"/>
  <c r="H499" i="41"/>
  <c r="E499" i="41"/>
  <c r="F499" i="41" s="1"/>
  <c r="J498" i="41"/>
  <c r="I498" i="41"/>
  <c r="H498" i="41"/>
  <c r="E498" i="41"/>
  <c r="F498" i="41" s="1"/>
  <c r="J497" i="41"/>
  <c r="I497" i="41"/>
  <c r="H497" i="41"/>
  <c r="E497" i="41"/>
  <c r="F497" i="41" s="1"/>
  <c r="J496" i="41"/>
  <c r="I496" i="41"/>
  <c r="H496" i="41"/>
  <c r="E496" i="41"/>
  <c r="F496" i="41" s="1"/>
  <c r="J495" i="41"/>
  <c r="I495" i="41"/>
  <c r="H495" i="41"/>
  <c r="E495" i="41"/>
  <c r="F495" i="41" s="1"/>
  <c r="J494" i="41"/>
  <c r="I494" i="41"/>
  <c r="H494" i="41"/>
  <c r="E494" i="41"/>
  <c r="F494" i="41" s="1"/>
  <c r="J493" i="41"/>
  <c r="I493" i="41"/>
  <c r="H493" i="41"/>
  <c r="E493" i="41"/>
  <c r="F493" i="41" s="1"/>
  <c r="J492" i="41"/>
  <c r="I492" i="41"/>
  <c r="H492" i="41"/>
  <c r="E492" i="41"/>
  <c r="F492" i="41" s="1"/>
  <c r="J491" i="41"/>
  <c r="I491" i="41"/>
  <c r="H491" i="41"/>
  <c r="E491" i="41"/>
  <c r="F491" i="41" s="1"/>
  <c r="J490" i="41"/>
  <c r="I490" i="41"/>
  <c r="H490" i="41"/>
  <c r="E490" i="41"/>
  <c r="F490" i="41" s="1"/>
  <c r="J489" i="41"/>
  <c r="I489" i="41"/>
  <c r="H489" i="41"/>
  <c r="E489" i="41"/>
  <c r="F489" i="41" s="1"/>
  <c r="J488" i="41"/>
  <c r="I488" i="41"/>
  <c r="H488" i="41"/>
  <c r="E488" i="41"/>
  <c r="F488" i="41" s="1"/>
  <c r="J487" i="41"/>
  <c r="I487" i="41"/>
  <c r="H487" i="41"/>
  <c r="E487" i="41"/>
  <c r="F487" i="41" s="1"/>
  <c r="J486" i="41"/>
  <c r="I486" i="41"/>
  <c r="H486" i="41"/>
  <c r="E486" i="41"/>
  <c r="F486" i="41" s="1"/>
  <c r="J485" i="41"/>
  <c r="I485" i="41"/>
  <c r="H485" i="41"/>
  <c r="E485" i="41"/>
  <c r="F485" i="41" s="1"/>
  <c r="J484" i="41"/>
  <c r="I484" i="41"/>
  <c r="H484" i="41"/>
  <c r="E484" i="41"/>
  <c r="F484" i="41" s="1"/>
  <c r="J483" i="41"/>
  <c r="I483" i="41"/>
  <c r="H483" i="41"/>
  <c r="E483" i="41"/>
  <c r="F483" i="41" s="1"/>
  <c r="J482" i="41"/>
  <c r="I482" i="41"/>
  <c r="H482" i="41"/>
  <c r="E482" i="41"/>
  <c r="F482" i="41" s="1"/>
  <c r="J481" i="41"/>
  <c r="I481" i="41"/>
  <c r="H481" i="41"/>
  <c r="E481" i="41"/>
  <c r="F481" i="41" s="1"/>
  <c r="J480" i="41"/>
  <c r="I480" i="41"/>
  <c r="H480" i="41"/>
  <c r="E480" i="41"/>
  <c r="F480" i="41" s="1"/>
  <c r="J479" i="41"/>
  <c r="I479" i="41"/>
  <c r="H479" i="41"/>
  <c r="E479" i="41"/>
  <c r="F479" i="41" s="1"/>
  <c r="J478" i="41"/>
  <c r="I478" i="41"/>
  <c r="H478" i="41"/>
  <c r="E478" i="41"/>
  <c r="F478" i="41" s="1"/>
  <c r="J477" i="41"/>
  <c r="I477" i="41"/>
  <c r="H477" i="41"/>
  <c r="E477" i="41"/>
  <c r="F477" i="41" s="1"/>
  <c r="J476" i="41"/>
  <c r="I476" i="41"/>
  <c r="H476" i="41"/>
  <c r="E476" i="41"/>
  <c r="F476" i="41" s="1"/>
  <c r="J475" i="41"/>
  <c r="I475" i="41"/>
  <c r="H475" i="41"/>
  <c r="E475" i="41"/>
  <c r="F475" i="41" s="1"/>
  <c r="J474" i="41"/>
  <c r="I474" i="41"/>
  <c r="H474" i="41"/>
  <c r="E474" i="41"/>
  <c r="F474" i="41" s="1"/>
  <c r="J473" i="41"/>
  <c r="I473" i="41"/>
  <c r="H473" i="41"/>
  <c r="F473" i="41"/>
  <c r="E473" i="41"/>
  <c r="J472" i="41"/>
  <c r="I472" i="41"/>
  <c r="H472" i="41"/>
  <c r="E472" i="41"/>
  <c r="F472" i="41" s="1"/>
  <c r="J471" i="41"/>
  <c r="I471" i="41"/>
  <c r="H471" i="41"/>
  <c r="E471" i="41"/>
  <c r="F471" i="41" s="1"/>
  <c r="J470" i="41"/>
  <c r="I470" i="41"/>
  <c r="H470" i="41"/>
  <c r="E470" i="41"/>
  <c r="F470" i="41" s="1"/>
  <c r="J469" i="41"/>
  <c r="I469" i="41"/>
  <c r="H469" i="41"/>
  <c r="E469" i="41"/>
  <c r="F469" i="41" s="1"/>
  <c r="J468" i="41"/>
  <c r="I468" i="41"/>
  <c r="H468" i="41"/>
  <c r="E468" i="41"/>
  <c r="F468" i="41" s="1"/>
  <c r="J467" i="41"/>
  <c r="I467" i="41"/>
  <c r="H467" i="41"/>
  <c r="E467" i="41"/>
  <c r="F467" i="41" s="1"/>
  <c r="J466" i="41"/>
  <c r="I466" i="41"/>
  <c r="H466" i="41"/>
  <c r="E466" i="41"/>
  <c r="F466" i="41" s="1"/>
  <c r="J465" i="41"/>
  <c r="I465" i="41"/>
  <c r="H465" i="41"/>
  <c r="E465" i="41"/>
  <c r="F465" i="41" s="1"/>
  <c r="J464" i="41"/>
  <c r="I464" i="41"/>
  <c r="H464" i="41"/>
  <c r="E464" i="41"/>
  <c r="F464" i="41" s="1"/>
  <c r="J463" i="41"/>
  <c r="I463" i="41"/>
  <c r="H463" i="41"/>
  <c r="E463" i="41"/>
  <c r="F463" i="41" s="1"/>
  <c r="J462" i="41"/>
  <c r="I462" i="41"/>
  <c r="H462" i="41"/>
  <c r="E462" i="41"/>
  <c r="F462" i="41" s="1"/>
  <c r="J461" i="41"/>
  <c r="I461" i="41"/>
  <c r="H461" i="41"/>
  <c r="E461" i="41"/>
  <c r="F461" i="41" s="1"/>
  <c r="J460" i="41"/>
  <c r="I460" i="41"/>
  <c r="H460" i="41"/>
  <c r="E460" i="41"/>
  <c r="F460" i="41" s="1"/>
  <c r="J459" i="41"/>
  <c r="I459" i="41"/>
  <c r="H459" i="41"/>
  <c r="E459" i="41"/>
  <c r="F459" i="41" s="1"/>
  <c r="J458" i="41"/>
  <c r="I458" i="41"/>
  <c r="H458" i="41"/>
  <c r="E458" i="41"/>
  <c r="F458" i="41" s="1"/>
  <c r="J457" i="41"/>
  <c r="I457" i="41"/>
  <c r="H457" i="41"/>
  <c r="E457" i="41"/>
  <c r="F457" i="41" s="1"/>
  <c r="J456" i="41"/>
  <c r="I456" i="41"/>
  <c r="H456" i="41"/>
  <c r="G456" i="41"/>
  <c r="E456" i="41"/>
  <c r="F456" i="41" s="1"/>
  <c r="J455" i="41"/>
  <c r="I455" i="41"/>
  <c r="H455" i="41"/>
  <c r="G455" i="41"/>
  <c r="E455" i="41"/>
  <c r="F455" i="41" s="1"/>
  <c r="J454" i="41"/>
  <c r="I454" i="41"/>
  <c r="H454" i="41"/>
  <c r="G454" i="41"/>
  <c r="E454" i="41"/>
  <c r="F454" i="41" s="1"/>
  <c r="J453" i="41"/>
  <c r="I453" i="41"/>
  <c r="H453" i="41"/>
  <c r="G453" i="41"/>
  <c r="E453" i="41"/>
  <c r="F453" i="41" s="1"/>
  <c r="J452" i="41"/>
  <c r="I452" i="41"/>
  <c r="H452" i="41"/>
  <c r="G452" i="41"/>
  <c r="E452" i="41"/>
  <c r="F452" i="41" s="1"/>
  <c r="J451" i="41"/>
  <c r="I451" i="41"/>
  <c r="H451" i="41"/>
  <c r="G451" i="41"/>
  <c r="E451" i="41"/>
  <c r="F451" i="41" s="1"/>
  <c r="J450" i="41"/>
  <c r="I450" i="41"/>
  <c r="H450" i="41"/>
  <c r="G450" i="41"/>
  <c r="E450" i="41"/>
  <c r="F450" i="41" s="1"/>
  <c r="J449" i="41"/>
  <c r="I449" i="41"/>
  <c r="H449" i="41"/>
  <c r="G449" i="41"/>
  <c r="E449" i="41"/>
  <c r="F449" i="41" s="1"/>
  <c r="J448" i="41"/>
  <c r="I448" i="41"/>
  <c r="H448" i="41"/>
  <c r="G448" i="41"/>
  <c r="E448" i="41"/>
  <c r="F448" i="41" s="1"/>
  <c r="J447" i="41"/>
  <c r="I447" i="41"/>
  <c r="H447" i="41"/>
  <c r="G447" i="41"/>
  <c r="E447" i="41"/>
  <c r="F447" i="41" s="1"/>
  <c r="J446" i="41"/>
  <c r="I446" i="41"/>
  <c r="H446" i="41"/>
  <c r="G446" i="41"/>
  <c r="E446" i="41"/>
  <c r="F446" i="41" s="1"/>
  <c r="J445" i="41"/>
  <c r="I445" i="41"/>
  <c r="H445" i="41"/>
  <c r="G445" i="41"/>
  <c r="E445" i="41"/>
  <c r="F445" i="41" s="1"/>
  <c r="J444" i="41"/>
  <c r="I444" i="41"/>
  <c r="H444" i="41"/>
  <c r="G444" i="41"/>
  <c r="E444" i="41"/>
  <c r="F444" i="41" s="1"/>
  <c r="J443" i="41"/>
  <c r="I443" i="41"/>
  <c r="H443" i="41"/>
  <c r="G443" i="41"/>
  <c r="E443" i="41"/>
  <c r="F443" i="41" s="1"/>
  <c r="J442" i="41"/>
  <c r="I442" i="41"/>
  <c r="H442" i="41"/>
  <c r="G442" i="41"/>
  <c r="E442" i="41"/>
  <c r="F442" i="41" s="1"/>
  <c r="J441" i="41"/>
  <c r="I441" i="41"/>
  <c r="H441" i="41"/>
  <c r="G441" i="41"/>
  <c r="E441" i="41"/>
  <c r="F441" i="41" s="1"/>
  <c r="J440" i="41"/>
  <c r="I440" i="41"/>
  <c r="H440" i="41"/>
  <c r="G440" i="41"/>
  <c r="E440" i="41"/>
  <c r="F440" i="41" s="1"/>
  <c r="J439" i="41"/>
  <c r="I439" i="41"/>
  <c r="H439" i="41"/>
  <c r="G439" i="41"/>
  <c r="E439" i="41"/>
  <c r="F439" i="41" s="1"/>
  <c r="J438" i="41"/>
  <c r="I438" i="41"/>
  <c r="H438" i="41"/>
  <c r="G438" i="41"/>
  <c r="E438" i="41"/>
  <c r="F438" i="41" s="1"/>
  <c r="J437" i="41"/>
  <c r="I437" i="41"/>
  <c r="H437" i="41"/>
  <c r="G437" i="41"/>
  <c r="E437" i="41"/>
  <c r="F437" i="41" s="1"/>
  <c r="J436" i="41"/>
  <c r="I436" i="41"/>
  <c r="H436" i="41"/>
  <c r="G436" i="41"/>
  <c r="E436" i="41"/>
  <c r="F436" i="41" s="1"/>
  <c r="J435" i="41"/>
  <c r="I435" i="41"/>
  <c r="H435" i="41"/>
  <c r="G435" i="41"/>
  <c r="E435" i="41"/>
  <c r="F435" i="41" s="1"/>
  <c r="J434" i="41"/>
  <c r="I434" i="41"/>
  <c r="H434" i="41"/>
  <c r="G434" i="41"/>
  <c r="E434" i="41"/>
  <c r="F434" i="41" s="1"/>
  <c r="J433" i="41"/>
  <c r="I433" i="41"/>
  <c r="H433" i="41"/>
  <c r="G433" i="41"/>
  <c r="E433" i="41"/>
  <c r="F433" i="41" s="1"/>
  <c r="J432" i="41"/>
  <c r="I432" i="41"/>
  <c r="H432" i="41"/>
  <c r="G432" i="41"/>
  <c r="E432" i="41"/>
  <c r="F432" i="41" s="1"/>
  <c r="J431" i="41"/>
  <c r="I431" i="41"/>
  <c r="H431" i="41"/>
  <c r="G431" i="41"/>
  <c r="E431" i="41"/>
  <c r="F431" i="41" s="1"/>
  <c r="J430" i="41"/>
  <c r="I430" i="41"/>
  <c r="H430" i="41"/>
  <c r="G430" i="41"/>
  <c r="E430" i="41"/>
  <c r="F430" i="41" s="1"/>
  <c r="J429" i="41"/>
  <c r="I429" i="41"/>
  <c r="H429" i="41"/>
  <c r="G429" i="41"/>
  <c r="E429" i="41"/>
  <c r="F429" i="41" s="1"/>
  <c r="J428" i="41"/>
  <c r="I428" i="41"/>
  <c r="H428" i="41"/>
  <c r="G428" i="41"/>
  <c r="E428" i="41"/>
  <c r="F428" i="41" s="1"/>
  <c r="J427" i="41"/>
  <c r="I427" i="41"/>
  <c r="H427" i="41"/>
  <c r="G427" i="41"/>
  <c r="E427" i="41"/>
  <c r="F427" i="41" s="1"/>
  <c r="J426" i="41"/>
  <c r="I426" i="41"/>
  <c r="H426" i="41"/>
  <c r="G426" i="41"/>
  <c r="E426" i="41"/>
  <c r="F426" i="41" s="1"/>
  <c r="J425" i="41"/>
  <c r="I425" i="41"/>
  <c r="H425" i="41"/>
  <c r="G425" i="41"/>
  <c r="E425" i="41"/>
  <c r="F425" i="41" s="1"/>
  <c r="J424" i="41"/>
  <c r="I424" i="41"/>
  <c r="H424" i="41"/>
  <c r="G424" i="41"/>
  <c r="E424" i="41"/>
  <c r="F424" i="41" s="1"/>
  <c r="J423" i="41"/>
  <c r="I423" i="41"/>
  <c r="H423" i="41"/>
  <c r="G423" i="41"/>
  <c r="E423" i="41"/>
  <c r="F423" i="41" s="1"/>
  <c r="J422" i="41"/>
  <c r="I422" i="41"/>
  <c r="H422" i="41"/>
  <c r="G422" i="41"/>
  <c r="E422" i="41"/>
  <c r="F422" i="41" s="1"/>
  <c r="J421" i="41"/>
  <c r="I421" i="41"/>
  <c r="H421" i="41"/>
  <c r="G421" i="41"/>
  <c r="E421" i="41"/>
  <c r="F421" i="41" s="1"/>
  <c r="J420" i="41"/>
  <c r="I420" i="41"/>
  <c r="H420" i="41"/>
  <c r="G420" i="41"/>
  <c r="E420" i="41"/>
  <c r="F420" i="41" s="1"/>
  <c r="J419" i="41"/>
  <c r="I419" i="41"/>
  <c r="H419" i="41"/>
  <c r="G419" i="41"/>
  <c r="E419" i="41"/>
  <c r="F419" i="41" s="1"/>
  <c r="J418" i="41"/>
  <c r="I418" i="41"/>
  <c r="H418" i="41"/>
  <c r="G418" i="41"/>
  <c r="E418" i="41"/>
  <c r="F418" i="41" s="1"/>
  <c r="J417" i="41"/>
  <c r="I417" i="41"/>
  <c r="H417" i="41"/>
  <c r="G417" i="41"/>
  <c r="E417" i="41"/>
  <c r="F417" i="41" s="1"/>
  <c r="J416" i="41"/>
  <c r="I416" i="41"/>
  <c r="H416" i="41"/>
  <c r="G416" i="41"/>
  <c r="E416" i="41"/>
  <c r="F416" i="41" s="1"/>
  <c r="J415" i="41"/>
  <c r="I415" i="41"/>
  <c r="H415" i="41"/>
  <c r="G415" i="41"/>
  <c r="E415" i="41"/>
  <c r="F415" i="41" s="1"/>
  <c r="J414" i="41"/>
  <c r="I414" i="41"/>
  <c r="H414" i="41"/>
  <c r="G414" i="41"/>
  <c r="E414" i="41"/>
  <c r="F414" i="41" s="1"/>
  <c r="J413" i="41"/>
  <c r="I413" i="41"/>
  <c r="H413" i="41"/>
  <c r="G413" i="41"/>
  <c r="E413" i="41"/>
  <c r="F413" i="41" s="1"/>
  <c r="J412" i="41"/>
  <c r="I412" i="41"/>
  <c r="H412" i="41"/>
  <c r="G412" i="41"/>
  <c r="E412" i="41"/>
  <c r="F412" i="41" s="1"/>
  <c r="J411" i="41"/>
  <c r="I411" i="41"/>
  <c r="H411" i="41"/>
  <c r="G411" i="41"/>
  <c r="E411" i="41"/>
  <c r="F411" i="41" s="1"/>
  <c r="J410" i="41"/>
  <c r="I410" i="41"/>
  <c r="H410" i="41"/>
  <c r="G410" i="41"/>
  <c r="E410" i="41"/>
  <c r="F410" i="41" s="1"/>
  <c r="J409" i="41"/>
  <c r="I409" i="41"/>
  <c r="H409" i="41"/>
  <c r="G409" i="41"/>
  <c r="E409" i="41"/>
  <c r="F409" i="41" s="1"/>
  <c r="J408" i="41"/>
  <c r="I408" i="41"/>
  <c r="H408" i="41"/>
  <c r="G408" i="41"/>
  <c r="E408" i="41"/>
  <c r="F408" i="41" s="1"/>
  <c r="J407" i="41"/>
  <c r="I407" i="41"/>
  <c r="H407" i="41"/>
  <c r="G407" i="41"/>
  <c r="E407" i="41"/>
  <c r="F407" i="41" s="1"/>
  <c r="J406" i="41"/>
  <c r="I406" i="41"/>
  <c r="H406" i="41"/>
  <c r="G406" i="41"/>
  <c r="E406" i="41"/>
  <c r="F406" i="41" s="1"/>
  <c r="J405" i="41"/>
  <c r="I405" i="41"/>
  <c r="H405" i="41"/>
  <c r="G405" i="41"/>
  <c r="E405" i="41"/>
  <c r="F405" i="41" s="1"/>
  <c r="J404" i="41"/>
  <c r="I404" i="41"/>
  <c r="H404" i="41"/>
  <c r="G404" i="41"/>
  <c r="E404" i="41"/>
  <c r="F404" i="41" s="1"/>
  <c r="J403" i="41"/>
  <c r="I403" i="41"/>
  <c r="H403" i="41"/>
  <c r="G403" i="41"/>
  <c r="E403" i="41"/>
  <c r="F403" i="41" s="1"/>
  <c r="J402" i="41"/>
  <c r="I402" i="41"/>
  <c r="H402" i="41"/>
  <c r="G402" i="41"/>
  <c r="E402" i="41"/>
  <c r="F402" i="41" s="1"/>
  <c r="J401" i="41"/>
  <c r="I401" i="41"/>
  <c r="H401" i="41"/>
  <c r="G401" i="41"/>
  <c r="E401" i="41"/>
  <c r="F401" i="41" s="1"/>
  <c r="J400" i="41"/>
  <c r="I400" i="41"/>
  <c r="H400" i="41"/>
  <c r="G400" i="41"/>
  <c r="E400" i="41"/>
  <c r="F400" i="41" s="1"/>
  <c r="J399" i="41"/>
  <c r="I399" i="41"/>
  <c r="H399" i="41"/>
  <c r="G399" i="41"/>
  <c r="E399" i="41"/>
  <c r="F399" i="41" s="1"/>
  <c r="J398" i="41"/>
  <c r="I398" i="41"/>
  <c r="H398" i="41"/>
  <c r="G398" i="41"/>
  <c r="E398" i="41"/>
  <c r="F398" i="41" s="1"/>
  <c r="J397" i="41"/>
  <c r="I397" i="41"/>
  <c r="H397" i="41"/>
  <c r="G397" i="41"/>
  <c r="E397" i="41"/>
  <c r="F397" i="41" s="1"/>
  <c r="J396" i="41"/>
  <c r="I396" i="41"/>
  <c r="H396" i="41"/>
  <c r="G396" i="41"/>
  <c r="E396" i="41"/>
  <c r="F396" i="41" s="1"/>
  <c r="J395" i="41"/>
  <c r="I395" i="41"/>
  <c r="H395" i="41"/>
  <c r="G395" i="41"/>
  <c r="E395" i="41"/>
  <c r="F395" i="41" s="1"/>
  <c r="J394" i="41"/>
  <c r="I394" i="41"/>
  <c r="H394" i="41"/>
  <c r="G394" i="41"/>
  <c r="E394" i="41"/>
  <c r="F394" i="41" s="1"/>
  <c r="J393" i="41"/>
  <c r="I393" i="41"/>
  <c r="H393" i="41"/>
  <c r="G393" i="41"/>
  <c r="E393" i="41"/>
  <c r="F393" i="41" s="1"/>
  <c r="J392" i="41"/>
  <c r="I392" i="41"/>
  <c r="H392" i="41"/>
  <c r="G392" i="41"/>
  <c r="E392" i="41"/>
  <c r="F392" i="41" s="1"/>
  <c r="J391" i="41"/>
  <c r="I391" i="41"/>
  <c r="H391" i="41"/>
  <c r="G391" i="41"/>
  <c r="E391" i="41"/>
  <c r="F391" i="41" s="1"/>
  <c r="J390" i="41"/>
  <c r="I390" i="41"/>
  <c r="H390" i="41"/>
  <c r="G390" i="41"/>
  <c r="E390" i="41"/>
  <c r="F390" i="41" s="1"/>
  <c r="J389" i="41"/>
  <c r="I389" i="41"/>
  <c r="H389" i="41"/>
  <c r="G389" i="41"/>
  <c r="E389" i="41"/>
  <c r="F389" i="41" s="1"/>
  <c r="J388" i="41"/>
  <c r="I388" i="41"/>
  <c r="H388" i="41"/>
  <c r="G388" i="41"/>
  <c r="E388" i="41"/>
  <c r="F388" i="41" s="1"/>
  <c r="J387" i="41"/>
  <c r="I387" i="41"/>
  <c r="H387" i="41"/>
  <c r="G387" i="41"/>
  <c r="E387" i="41"/>
  <c r="F387" i="41" s="1"/>
  <c r="J386" i="41"/>
  <c r="I386" i="41"/>
  <c r="H386" i="41"/>
  <c r="G386" i="41"/>
  <c r="E386" i="41"/>
  <c r="F386" i="41" s="1"/>
  <c r="J385" i="41"/>
  <c r="I385" i="41"/>
  <c r="H385" i="41"/>
  <c r="G385" i="41"/>
  <c r="E385" i="41"/>
  <c r="F385" i="41" s="1"/>
  <c r="J384" i="41"/>
  <c r="I384" i="41"/>
  <c r="H384" i="41"/>
  <c r="G384" i="41"/>
  <c r="E384" i="41"/>
  <c r="F384" i="41" s="1"/>
  <c r="J383" i="41"/>
  <c r="I383" i="41"/>
  <c r="H383" i="41"/>
  <c r="G383" i="41"/>
  <c r="E383" i="41"/>
  <c r="F383" i="41" s="1"/>
  <c r="J382" i="41"/>
  <c r="I382" i="41"/>
  <c r="H382" i="41"/>
  <c r="G382" i="41"/>
  <c r="E382" i="41"/>
  <c r="F382" i="41" s="1"/>
  <c r="J381" i="41"/>
  <c r="I381" i="41"/>
  <c r="H381" i="41"/>
  <c r="G381" i="41"/>
  <c r="E381" i="41"/>
  <c r="F381" i="41" s="1"/>
  <c r="J380" i="41"/>
  <c r="I380" i="41"/>
  <c r="H380" i="41"/>
  <c r="G380" i="41"/>
  <c r="E380" i="41"/>
  <c r="F380" i="41" s="1"/>
  <c r="J379" i="41"/>
  <c r="I379" i="41"/>
  <c r="H379" i="41"/>
  <c r="G379" i="41"/>
  <c r="E379" i="41"/>
  <c r="F379" i="41" s="1"/>
  <c r="J378" i="41"/>
  <c r="I378" i="41"/>
  <c r="H378" i="41"/>
  <c r="G378" i="41"/>
  <c r="E378" i="41"/>
  <c r="F378" i="41" s="1"/>
  <c r="J377" i="41"/>
  <c r="I377" i="41"/>
  <c r="H377" i="41"/>
  <c r="G377" i="41"/>
  <c r="E377" i="41"/>
  <c r="F377" i="41" s="1"/>
  <c r="J376" i="41"/>
  <c r="I376" i="41"/>
  <c r="H376" i="41"/>
  <c r="G376" i="41"/>
  <c r="E376" i="41"/>
  <c r="F376" i="41" s="1"/>
  <c r="J375" i="41"/>
  <c r="I375" i="41"/>
  <c r="H375" i="41"/>
  <c r="G375" i="41"/>
  <c r="E375" i="41"/>
  <c r="F375" i="41" s="1"/>
  <c r="J374" i="41"/>
  <c r="I374" i="41"/>
  <c r="H374" i="41"/>
  <c r="G374" i="41"/>
  <c r="E374" i="41"/>
  <c r="F374" i="41" s="1"/>
  <c r="J373" i="41"/>
  <c r="I373" i="41"/>
  <c r="H373" i="41"/>
  <c r="G373" i="41"/>
  <c r="E373" i="41"/>
  <c r="F373" i="41" s="1"/>
  <c r="J372" i="41"/>
  <c r="I372" i="41"/>
  <c r="H372" i="41"/>
  <c r="G372" i="41"/>
  <c r="E372" i="41"/>
  <c r="F372" i="41" s="1"/>
  <c r="J371" i="41"/>
  <c r="I371" i="41"/>
  <c r="H371" i="41"/>
  <c r="G371" i="41"/>
  <c r="E371" i="41"/>
  <c r="F371" i="41" s="1"/>
  <c r="J370" i="41"/>
  <c r="I370" i="41"/>
  <c r="H370" i="41"/>
  <c r="G370" i="41"/>
  <c r="E370" i="41"/>
  <c r="F370" i="41" s="1"/>
  <c r="J369" i="41"/>
  <c r="I369" i="41"/>
  <c r="H369" i="41"/>
  <c r="G369" i="41"/>
  <c r="E369" i="41"/>
  <c r="F369" i="41" s="1"/>
  <c r="J368" i="41"/>
  <c r="I368" i="41"/>
  <c r="H368" i="41"/>
  <c r="G368" i="41"/>
  <c r="E368" i="41"/>
  <c r="F368" i="41" s="1"/>
  <c r="J367" i="41"/>
  <c r="I367" i="41"/>
  <c r="H367" i="41"/>
  <c r="G367" i="41"/>
  <c r="E367" i="41"/>
  <c r="F367" i="41" s="1"/>
  <c r="J366" i="41"/>
  <c r="I366" i="41"/>
  <c r="H366" i="41"/>
  <c r="G366" i="41"/>
  <c r="E366" i="41"/>
  <c r="F366" i="41" s="1"/>
  <c r="J365" i="41"/>
  <c r="I365" i="41"/>
  <c r="H365" i="41"/>
  <c r="G365" i="41"/>
  <c r="E365" i="41"/>
  <c r="F365" i="41" s="1"/>
  <c r="J364" i="41"/>
  <c r="I364" i="41"/>
  <c r="H364" i="41"/>
  <c r="G364" i="41"/>
  <c r="E364" i="41"/>
  <c r="F364" i="41" s="1"/>
  <c r="J363" i="41"/>
  <c r="I363" i="41"/>
  <c r="H363" i="41"/>
  <c r="G363" i="41"/>
  <c r="E363" i="41"/>
  <c r="F363" i="41" s="1"/>
  <c r="J362" i="41"/>
  <c r="I362" i="41"/>
  <c r="H362" i="41"/>
  <c r="G362" i="41"/>
  <c r="E362" i="41"/>
  <c r="F362" i="41" s="1"/>
  <c r="J361" i="41"/>
  <c r="I361" i="41"/>
  <c r="H361" i="41"/>
  <c r="G361" i="41"/>
  <c r="E361" i="41"/>
  <c r="F361" i="41" s="1"/>
  <c r="J360" i="41"/>
  <c r="I360" i="41"/>
  <c r="H360" i="41"/>
  <c r="G360" i="41"/>
  <c r="E360" i="41"/>
  <c r="F360" i="41" s="1"/>
  <c r="J359" i="41"/>
  <c r="I359" i="41"/>
  <c r="H359" i="41"/>
  <c r="G359" i="41"/>
  <c r="E359" i="41"/>
  <c r="F359" i="41" s="1"/>
  <c r="J358" i="41"/>
  <c r="I358" i="41"/>
  <c r="H358" i="41"/>
  <c r="G358" i="41"/>
  <c r="E358" i="41"/>
  <c r="F358" i="41" s="1"/>
  <c r="J357" i="41"/>
  <c r="I357" i="41"/>
  <c r="H357" i="41"/>
  <c r="G357" i="41"/>
  <c r="E357" i="41"/>
  <c r="F357" i="41" s="1"/>
  <c r="J356" i="41"/>
  <c r="I356" i="41"/>
  <c r="H356" i="41"/>
  <c r="G356" i="41"/>
  <c r="E356" i="41"/>
  <c r="F356" i="41" s="1"/>
  <c r="J355" i="41"/>
  <c r="I355" i="41"/>
  <c r="H355" i="41"/>
  <c r="G355" i="41"/>
  <c r="E355" i="41"/>
  <c r="F355" i="41" s="1"/>
  <c r="J354" i="41"/>
  <c r="I354" i="41"/>
  <c r="H354" i="41"/>
  <c r="G354" i="41"/>
  <c r="E354" i="41"/>
  <c r="F354" i="41" s="1"/>
  <c r="J353" i="41"/>
  <c r="I353" i="41"/>
  <c r="H353" i="41"/>
  <c r="G353" i="41"/>
  <c r="E353" i="41"/>
  <c r="F353" i="41" s="1"/>
  <c r="J352" i="41"/>
  <c r="I352" i="41"/>
  <c r="H352" i="41"/>
  <c r="G352" i="41"/>
  <c r="E352" i="41"/>
  <c r="F352" i="41" s="1"/>
  <c r="J351" i="41"/>
  <c r="I351" i="41"/>
  <c r="H351" i="41"/>
  <c r="G351" i="41"/>
  <c r="E351" i="41"/>
  <c r="F351" i="41" s="1"/>
  <c r="J350" i="41"/>
  <c r="I350" i="41"/>
  <c r="H350" i="41"/>
  <c r="G350" i="41"/>
  <c r="E350" i="41"/>
  <c r="F350" i="41" s="1"/>
  <c r="J349" i="41"/>
  <c r="I349" i="41"/>
  <c r="H349" i="41"/>
  <c r="G349" i="41"/>
  <c r="E349" i="41"/>
  <c r="F349" i="41" s="1"/>
  <c r="J348" i="41"/>
  <c r="I348" i="41"/>
  <c r="H348" i="41"/>
  <c r="G348" i="41"/>
  <c r="E348" i="41"/>
  <c r="F348" i="41" s="1"/>
  <c r="J347" i="41"/>
  <c r="I347" i="41"/>
  <c r="H347" i="41"/>
  <c r="G347" i="41"/>
  <c r="E347" i="41"/>
  <c r="F347" i="41" s="1"/>
  <c r="J346" i="41"/>
  <c r="I346" i="41"/>
  <c r="H346" i="41"/>
  <c r="G346" i="41"/>
  <c r="E346" i="41"/>
  <c r="F346" i="41" s="1"/>
  <c r="J345" i="41"/>
  <c r="I345" i="41"/>
  <c r="H345" i="41"/>
  <c r="G345" i="41"/>
  <c r="E345" i="41"/>
  <c r="F345" i="41" s="1"/>
  <c r="J344" i="41"/>
  <c r="I344" i="41"/>
  <c r="H344" i="41"/>
  <c r="G344" i="41"/>
  <c r="E344" i="41"/>
  <c r="F344" i="41" s="1"/>
  <c r="J343" i="41"/>
  <c r="I343" i="41"/>
  <c r="H343" i="41"/>
  <c r="G343" i="41"/>
  <c r="E343" i="41"/>
  <c r="F343" i="41" s="1"/>
  <c r="J342" i="41"/>
  <c r="I342" i="41"/>
  <c r="H342" i="41"/>
  <c r="G342" i="41"/>
  <c r="E342" i="41"/>
  <c r="F342" i="41" s="1"/>
  <c r="J341" i="41"/>
  <c r="I341" i="41"/>
  <c r="H341" i="41"/>
  <c r="G341" i="41"/>
  <c r="E341" i="41"/>
  <c r="F341" i="41" s="1"/>
  <c r="J340" i="41"/>
  <c r="I340" i="41"/>
  <c r="H340" i="41"/>
  <c r="G340" i="41"/>
  <c r="E340" i="41"/>
  <c r="F340" i="41" s="1"/>
  <c r="J339" i="41"/>
  <c r="I339" i="41"/>
  <c r="H339" i="41"/>
  <c r="G339" i="41"/>
  <c r="E339" i="41"/>
  <c r="F339" i="41" s="1"/>
  <c r="J338" i="41"/>
  <c r="I338" i="41"/>
  <c r="H338" i="41"/>
  <c r="G338" i="41"/>
  <c r="E338" i="41"/>
  <c r="F338" i="41" s="1"/>
  <c r="J337" i="41"/>
  <c r="I337" i="41"/>
  <c r="H337" i="41"/>
  <c r="G337" i="41"/>
  <c r="E337" i="41"/>
  <c r="F337" i="41" s="1"/>
  <c r="J336" i="41"/>
  <c r="I336" i="41"/>
  <c r="H336" i="41"/>
  <c r="G336" i="41"/>
  <c r="E336" i="41"/>
  <c r="F336" i="41" s="1"/>
  <c r="J335" i="41"/>
  <c r="I335" i="41"/>
  <c r="H335" i="41"/>
  <c r="G335" i="41"/>
  <c r="E335" i="41"/>
  <c r="F335" i="41" s="1"/>
  <c r="J334" i="41"/>
  <c r="I334" i="41"/>
  <c r="H334" i="41"/>
  <c r="G334" i="41"/>
  <c r="E334" i="41"/>
  <c r="F334" i="41" s="1"/>
  <c r="J333" i="41"/>
  <c r="I333" i="41"/>
  <c r="H333" i="41"/>
  <c r="G333" i="41"/>
  <c r="E333" i="41"/>
  <c r="F333" i="41" s="1"/>
  <c r="J332" i="41"/>
  <c r="I332" i="41"/>
  <c r="H332" i="41"/>
  <c r="G332" i="41"/>
  <c r="E332" i="41"/>
  <c r="F332" i="41" s="1"/>
  <c r="J331" i="41"/>
  <c r="I331" i="41"/>
  <c r="H331" i="41"/>
  <c r="G331" i="41"/>
  <c r="E331" i="41"/>
  <c r="F331" i="41" s="1"/>
  <c r="J330" i="41"/>
  <c r="I330" i="41"/>
  <c r="H330" i="41"/>
  <c r="G330" i="41"/>
  <c r="E330" i="41"/>
  <c r="F330" i="41" s="1"/>
  <c r="J329" i="41"/>
  <c r="I329" i="41"/>
  <c r="H329" i="41"/>
  <c r="G329" i="41"/>
  <c r="E329" i="41"/>
  <c r="F329" i="41" s="1"/>
  <c r="J328" i="41"/>
  <c r="I328" i="41"/>
  <c r="H328" i="41"/>
  <c r="G328" i="41"/>
  <c r="E328" i="41"/>
  <c r="F328" i="41" s="1"/>
  <c r="J327" i="41"/>
  <c r="I327" i="41"/>
  <c r="H327" i="41"/>
  <c r="G327" i="41"/>
  <c r="E327" i="41"/>
  <c r="F327" i="41" s="1"/>
  <c r="J326" i="41"/>
  <c r="I326" i="41"/>
  <c r="H326" i="41"/>
  <c r="G326" i="41"/>
  <c r="E326" i="41"/>
  <c r="F326" i="41" s="1"/>
  <c r="J325" i="41"/>
  <c r="I325" i="41"/>
  <c r="H325" i="41"/>
  <c r="G325" i="41"/>
  <c r="E325" i="41"/>
  <c r="F325" i="41" s="1"/>
  <c r="J324" i="41"/>
  <c r="I324" i="41"/>
  <c r="H324" i="41"/>
  <c r="G324" i="41"/>
  <c r="E324" i="41"/>
  <c r="F324" i="41" s="1"/>
  <c r="J323" i="41"/>
  <c r="I323" i="41"/>
  <c r="H323" i="41"/>
  <c r="G323" i="41"/>
  <c r="E323" i="41"/>
  <c r="F323" i="41" s="1"/>
  <c r="J322" i="41"/>
  <c r="I322" i="41"/>
  <c r="H322" i="41"/>
  <c r="G322" i="41"/>
  <c r="E322" i="41"/>
  <c r="F322" i="41" s="1"/>
  <c r="J321" i="41"/>
  <c r="I321" i="41"/>
  <c r="H321" i="41"/>
  <c r="G321" i="41"/>
  <c r="E321" i="41"/>
  <c r="F321" i="41" s="1"/>
  <c r="J320" i="41"/>
  <c r="I320" i="41"/>
  <c r="H320" i="41"/>
  <c r="G320" i="41"/>
  <c r="E320" i="41"/>
  <c r="F320" i="41" s="1"/>
  <c r="J319" i="41"/>
  <c r="I319" i="41"/>
  <c r="H319" i="41"/>
  <c r="G319" i="41"/>
  <c r="E319" i="41"/>
  <c r="F319" i="41" s="1"/>
  <c r="J318" i="41"/>
  <c r="I318" i="41"/>
  <c r="H318" i="41"/>
  <c r="G318" i="41"/>
  <c r="E318" i="41"/>
  <c r="F318" i="41" s="1"/>
  <c r="J317" i="41"/>
  <c r="I317" i="41"/>
  <c r="H317" i="41"/>
  <c r="G317" i="41"/>
  <c r="E317" i="41"/>
  <c r="F317" i="41" s="1"/>
  <c r="J316" i="41"/>
  <c r="I316" i="41"/>
  <c r="H316" i="41"/>
  <c r="G316" i="41"/>
  <c r="E316" i="41"/>
  <c r="F316" i="41" s="1"/>
  <c r="J315" i="41"/>
  <c r="I315" i="41"/>
  <c r="H315" i="41"/>
  <c r="G315" i="41"/>
  <c r="E315" i="41"/>
  <c r="F315" i="41" s="1"/>
  <c r="J314" i="41"/>
  <c r="I314" i="41"/>
  <c r="H314" i="41"/>
  <c r="G314" i="41"/>
  <c r="E314" i="41"/>
  <c r="F314" i="41" s="1"/>
  <c r="J313" i="41"/>
  <c r="I313" i="41"/>
  <c r="H313" i="41"/>
  <c r="G313" i="41"/>
  <c r="E313" i="41"/>
  <c r="F313" i="41" s="1"/>
  <c r="J312" i="41"/>
  <c r="I312" i="41"/>
  <c r="H312" i="41"/>
  <c r="G312" i="41"/>
  <c r="E312" i="41"/>
  <c r="F312" i="41" s="1"/>
  <c r="J311" i="41"/>
  <c r="I311" i="41"/>
  <c r="H311" i="41"/>
  <c r="G311" i="41"/>
  <c r="E311" i="41"/>
  <c r="F311" i="41" s="1"/>
  <c r="J310" i="41"/>
  <c r="I310" i="41"/>
  <c r="H310" i="41"/>
  <c r="G310" i="41"/>
  <c r="E310" i="41"/>
  <c r="F310" i="41" s="1"/>
  <c r="J309" i="41"/>
  <c r="I309" i="41"/>
  <c r="H309" i="41"/>
  <c r="G309" i="41"/>
  <c r="E309" i="41"/>
  <c r="F309" i="41" s="1"/>
  <c r="J308" i="41"/>
  <c r="I308" i="41"/>
  <c r="H308" i="41"/>
  <c r="G308" i="41"/>
  <c r="E308" i="41"/>
  <c r="F308" i="41" s="1"/>
  <c r="J307" i="41"/>
  <c r="I307" i="41"/>
  <c r="H307" i="41"/>
  <c r="G307" i="41"/>
  <c r="E307" i="41"/>
  <c r="F307" i="41" s="1"/>
  <c r="J306" i="41"/>
  <c r="I306" i="41"/>
  <c r="H306" i="41"/>
  <c r="G306" i="41"/>
  <c r="E306" i="41"/>
  <c r="F306" i="41" s="1"/>
  <c r="J305" i="41"/>
  <c r="I305" i="41"/>
  <c r="H305" i="41"/>
  <c r="G305" i="41"/>
  <c r="E305" i="41"/>
  <c r="F305" i="41" s="1"/>
  <c r="J304" i="41"/>
  <c r="I304" i="41"/>
  <c r="H304" i="41"/>
  <c r="G304" i="41"/>
  <c r="E304" i="41"/>
  <c r="F304" i="41" s="1"/>
  <c r="J303" i="41"/>
  <c r="I303" i="41"/>
  <c r="H303" i="41"/>
  <c r="G303" i="41"/>
  <c r="E303" i="41"/>
  <c r="F303" i="41" s="1"/>
  <c r="J302" i="41"/>
  <c r="I302" i="41"/>
  <c r="H302" i="41"/>
  <c r="G302" i="41"/>
  <c r="E302" i="41"/>
  <c r="F302" i="41" s="1"/>
  <c r="J301" i="41"/>
  <c r="I301" i="41"/>
  <c r="H301" i="41"/>
  <c r="G301" i="41"/>
  <c r="E301" i="41"/>
  <c r="F301" i="41" s="1"/>
  <c r="J300" i="41"/>
  <c r="I300" i="41"/>
  <c r="H300" i="41"/>
  <c r="G300" i="41"/>
  <c r="E300" i="41"/>
  <c r="F300" i="41" s="1"/>
  <c r="J299" i="41"/>
  <c r="I299" i="41"/>
  <c r="H299" i="41"/>
  <c r="G299" i="41"/>
  <c r="E299" i="41"/>
  <c r="F299" i="41" s="1"/>
  <c r="J298" i="41"/>
  <c r="I298" i="41"/>
  <c r="H298" i="41"/>
  <c r="G298" i="41"/>
  <c r="E298" i="41"/>
  <c r="F298" i="41" s="1"/>
  <c r="J297" i="41"/>
  <c r="I297" i="41"/>
  <c r="H297" i="41"/>
  <c r="G297" i="41"/>
  <c r="E297" i="41"/>
  <c r="F297" i="41" s="1"/>
  <c r="J296" i="41"/>
  <c r="I296" i="41"/>
  <c r="H296" i="41"/>
  <c r="G296" i="41"/>
  <c r="E296" i="41"/>
  <c r="F296" i="41" s="1"/>
  <c r="J295" i="41"/>
  <c r="I295" i="41"/>
  <c r="H295" i="41"/>
  <c r="G295" i="41"/>
  <c r="E295" i="41"/>
  <c r="F295" i="41" s="1"/>
  <c r="J294" i="41"/>
  <c r="I294" i="41"/>
  <c r="H294" i="41"/>
  <c r="G294" i="41"/>
  <c r="E294" i="41"/>
  <c r="F294" i="41" s="1"/>
  <c r="J293" i="41"/>
  <c r="I293" i="41"/>
  <c r="H293" i="41"/>
  <c r="G293" i="41"/>
  <c r="E293" i="41"/>
  <c r="F293" i="41" s="1"/>
  <c r="J292" i="41"/>
  <c r="I292" i="41"/>
  <c r="H292" i="41"/>
  <c r="G292" i="41"/>
  <c r="E292" i="41"/>
  <c r="F292" i="41" s="1"/>
  <c r="J291" i="41"/>
  <c r="I291" i="41"/>
  <c r="H291" i="41"/>
  <c r="G291" i="41"/>
  <c r="E291" i="41"/>
  <c r="F291" i="41" s="1"/>
  <c r="J290" i="41"/>
  <c r="I290" i="41"/>
  <c r="H290" i="41"/>
  <c r="G290" i="41"/>
  <c r="E290" i="41"/>
  <c r="F290" i="41" s="1"/>
  <c r="J289" i="41"/>
  <c r="I289" i="41"/>
  <c r="H289" i="41"/>
  <c r="G289" i="41"/>
  <c r="E289" i="41"/>
  <c r="F289" i="41" s="1"/>
  <c r="J288" i="41"/>
  <c r="I288" i="41"/>
  <c r="H288" i="41"/>
  <c r="G288" i="41"/>
  <c r="E288" i="41"/>
  <c r="F288" i="41" s="1"/>
  <c r="J287" i="41"/>
  <c r="I287" i="41"/>
  <c r="H287" i="41"/>
  <c r="G287" i="41"/>
  <c r="E287" i="41"/>
  <c r="F287" i="41" s="1"/>
  <c r="J286" i="41"/>
  <c r="I286" i="41"/>
  <c r="H286" i="41"/>
  <c r="G286" i="41"/>
  <c r="E286" i="41"/>
  <c r="F286" i="41" s="1"/>
  <c r="J285" i="41"/>
  <c r="I285" i="41"/>
  <c r="H285" i="41"/>
  <c r="G285" i="41"/>
  <c r="E285" i="41"/>
  <c r="F285" i="41" s="1"/>
  <c r="J284" i="41"/>
  <c r="I284" i="41"/>
  <c r="H284" i="41"/>
  <c r="G284" i="41"/>
  <c r="E284" i="41"/>
  <c r="F284" i="41" s="1"/>
  <c r="J283" i="41"/>
  <c r="I283" i="41"/>
  <c r="H283" i="41"/>
  <c r="G283" i="41"/>
  <c r="E283" i="41"/>
  <c r="F283" i="41" s="1"/>
  <c r="J282" i="41"/>
  <c r="I282" i="41"/>
  <c r="H282" i="41"/>
  <c r="G282" i="41"/>
  <c r="E282" i="41"/>
  <c r="F282" i="41" s="1"/>
  <c r="J281" i="41"/>
  <c r="I281" i="41"/>
  <c r="H281" i="41"/>
  <c r="G281" i="41"/>
  <c r="E281" i="41"/>
  <c r="F281" i="41" s="1"/>
  <c r="J280" i="41"/>
  <c r="I280" i="41"/>
  <c r="H280" i="41"/>
  <c r="G280" i="41"/>
  <c r="E280" i="41"/>
  <c r="F280" i="41" s="1"/>
  <c r="J279" i="41"/>
  <c r="I279" i="41"/>
  <c r="H279" i="41"/>
  <c r="G279" i="41"/>
  <c r="E279" i="41"/>
  <c r="F279" i="41" s="1"/>
  <c r="J278" i="41"/>
  <c r="I278" i="41"/>
  <c r="H278" i="41"/>
  <c r="G278" i="41"/>
  <c r="E278" i="41"/>
  <c r="F278" i="41" s="1"/>
  <c r="J277" i="41"/>
  <c r="I277" i="41"/>
  <c r="H277" i="41"/>
  <c r="G277" i="41"/>
  <c r="E277" i="41"/>
  <c r="F277" i="41" s="1"/>
  <c r="J276" i="41"/>
  <c r="I276" i="41"/>
  <c r="H276" i="41"/>
  <c r="G276" i="41"/>
  <c r="E276" i="41"/>
  <c r="F276" i="41" s="1"/>
  <c r="J275" i="41"/>
  <c r="I275" i="41"/>
  <c r="H275" i="41"/>
  <c r="G275" i="41"/>
  <c r="E275" i="41"/>
  <c r="F275" i="41" s="1"/>
  <c r="J274" i="41"/>
  <c r="I274" i="41"/>
  <c r="H274" i="41"/>
  <c r="G274" i="41"/>
  <c r="E274" i="41"/>
  <c r="F274" i="41" s="1"/>
  <c r="J273" i="41"/>
  <c r="I273" i="41"/>
  <c r="H273" i="41"/>
  <c r="G273" i="41"/>
  <c r="E273" i="41"/>
  <c r="F273" i="41" s="1"/>
  <c r="J272" i="41"/>
  <c r="I272" i="41"/>
  <c r="H272" i="41"/>
  <c r="G272" i="41"/>
  <c r="E272" i="41"/>
  <c r="F272" i="41" s="1"/>
  <c r="J271" i="41"/>
  <c r="I271" i="41"/>
  <c r="H271" i="41"/>
  <c r="G271" i="41"/>
  <c r="E271" i="41"/>
  <c r="F271" i="41" s="1"/>
  <c r="J270" i="41"/>
  <c r="I270" i="41"/>
  <c r="H270" i="41"/>
  <c r="G270" i="41"/>
  <c r="E270" i="41"/>
  <c r="F270" i="41" s="1"/>
  <c r="J269" i="41"/>
  <c r="I269" i="41"/>
  <c r="H269" i="41"/>
  <c r="G269" i="41"/>
  <c r="E269" i="41"/>
  <c r="F269" i="41" s="1"/>
  <c r="J268" i="41"/>
  <c r="I268" i="41"/>
  <c r="H268" i="41"/>
  <c r="G268" i="41"/>
  <c r="E268" i="41"/>
  <c r="F268" i="41" s="1"/>
  <c r="J267" i="41"/>
  <c r="I267" i="41"/>
  <c r="H267" i="41"/>
  <c r="G267" i="41"/>
  <c r="E267" i="41"/>
  <c r="F267" i="41" s="1"/>
  <c r="J266" i="41"/>
  <c r="I266" i="41"/>
  <c r="H266" i="41"/>
  <c r="G266" i="41"/>
  <c r="E266" i="41"/>
  <c r="F266" i="41" s="1"/>
  <c r="J265" i="41"/>
  <c r="I265" i="41"/>
  <c r="H265" i="41"/>
  <c r="G265" i="41"/>
  <c r="E265" i="41"/>
  <c r="F265" i="41" s="1"/>
  <c r="J264" i="41"/>
  <c r="I264" i="41"/>
  <c r="H264" i="41"/>
  <c r="G264" i="41"/>
  <c r="E264" i="41"/>
  <c r="F264" i="41" s="1"/>
  <c r="J263" i="41"/>
  <c r="I263" i="41"/>
  <c r="H263" i="41"/>
  <c r="G263" i="41"/>
  <c r="E263" i="41"/>
  <c r="F263" i="41" s="1"/>
  <c r="J262" i="41"/>
  <c r="I262" i="41"/>
  <c r="H262" i="41"/>
  <c r="G262" i="41"/>
  <c r="E262" i="41"/>
  <c r="F262" i="41" s="1"/>
  <c r="J261" i="41"/>
  <c r="I261" i="41"/>
  <c r="H261" i="41"/>
  <c r="G261" i="41"/>
  <c r="E261" i="41"/>
  <c r="F261" i="41" s="1"/>
  <c r="J260" i="41"/>
  <c r="I260" i="41"/>
  <c r="H260" i="41"/>
  <c r="G260" i="41"/>
  <c r="E260" i="41"/>
  <c r="F260" i="41" s="1"/>
  <c r="J259" i="41"/>
  <c r="I259" i="41"/>
  <c r="H259" i="41"/>
  <c r="G259" i="41"/>
  <c r="E259" i="41"/>
  <c r="F259" i="41" s="1"/>
  <c r="J258" i="41"/>
  <c r="I258" i="41"/>
  <c r="H258" i="41"/>
  <c r="G258" i="41"/>
  <c r="E258" i="41"/>
  <c r="F258" i="41" s="1"/>
  <c r="J257" i="41"/>
  <c r="I257" i="41"/>
  <c r="H257" i="41"/>
  <c r="G257" i="41"/>
  <c r="E257" i="41"/>
  <c r="F257" i="41" s="1"/>
  <c r="J256" i="41"/>
  <c r="I256" i="41"/>
  <c r="H256" i="41"/>
  <c r="G256" i="41"/>
  <c r="E256" i="41"/>
  <c r="F256" i="41" s="1"/>
  <c r="J255" i="41"/>
  <c r="I255" i="41"/>
  <c r="H255" i="41"/>
  <c r="G255" i="41"/>
  <c r="E255" i="41"/>
  <c r="F255" i="41" s="1"/>
  <c r="J254" i="41"/>
  <c r="I254" i="41"/>
  <c r="H254" i="41"/>
  <c r="G254" i="41"/>
  <c r="E254" i="41"/>
  <c r="F254" i="41" s="1"/>
  <c r="J253" i="41"/>
  <c r="I253" i="41"/>
  <c r="H253" i="41"/>
  <c r="G253" i="41"/>
  <c r="E253" i="41"/>
  <c r="F253" i="41" s="1"/>
  <c r="J252" i="41"/>
  <c r="I252" i="41"/>
  <c r="H252" i="41"/>
  <c r="G252" i="41"/>
  <c r="E252" i="41"/>
  <c r="F252" i="41" s="1"/>
  <c r="J251" i="41"/>
  <c r="I251" i="41"/>
  <c r="H251" i="41"/>
  <c r="G251" i="41"/>
  <c r="E251" i="41"/>
  <c r="F251" i="41" s="1"/>
  <c r="J250" i="41"/>
  <c r="I250" i="41"/>
  <c r="H250" i="41"/>
  <c r="G250" i="41"/>
  <c r="E250" i="41"/>
  <c r="F250" i="41" s="1"/>
  <c r="J249" i="41"/>
  <c r="I249" i="41"/>
  <c r="H249" i="41"/>
  <c r="G249" i="41"/>
  <c r="E249" i="41"/>
  <c r="F249" i="41" s="1"/>
  <c r="J248" i="41"/>
  <c r="I248" i="41"/>
  <c r="H248" i="41"/>
  <c r="G248" i="41"/>
  <c r="E248" i="41"/>
  <c r="F248" i="41" s="1"/>
  <c r="J247" i="41"/>
  <c r="I247" i="41"/>
  <c r="H247" i="41"/>
  <c r="G247" i="41"/>
  <c r="E247" i="41"/>
  <c r="F247" i="41" s="1"/>
  <c r="J246" i="41"/>
  <c r="I246" i="41"/>
  <c r="H246" i="41"/>
  <c r="G246" i="41"/>
  <c r="E246" i="41"/>
  <c r="F246" i="41" s="1"/>
  <c r="J245" i="41"/>
  <c r="I245" i="41"/>
  <c r="H245" i="41"/>
  <c r="G245" i="41"/>
  <c r="E245" i="41"/>
  <c r="F245" i="41" s="1"/>
  <c r="J244" i="41"/>
  <c r="I244" i="41"/>
  <c r="H244" i="41"/>
  <c r="G244" i="41"/>
  <c r="E244" i="41"/>
  <c r="F244" i="41" s="1"/>
  <c r="J243" i="41"/>
  <c r="I243" i="41"/>
  <c r="H243" i="41"/>
  <c r="G243" i="41"/>
  <c r="E243" i="41"/>
  <c r="F243" i="41" s="1"/>
  <c r="J242" i="41"/>
  <c r="I242" i="41"/>
  <c r="H242" i="41"/>
  <c r="G242" i="41"/>
  <c r="E242" i="41"/>
  <c r="F242" i="41" s="1"/>
  <c r="J241" i="41"/>
  <c r="I241" i="41"/>
  <c r="H241" i="41"/>
  <c r="G241" i="41"/>
  <c r="E241" i="41"/>
  <c r="F241" i="41" s="1"/>
  <c r="J240" i="41"/>
  <c r="I240" i="41"/>
  <c r="H240" i="41"/>
  <c r="G240" i="41"/>
  <c r="E240" i="41"/>
  <c r="F240" i="41" s="1"/>
  <c r="J239" i="41"/>
  <c r="I239" i="41"/>
  <c r="H239" i="41"/>
  <c r="G239" i="41"/>
  <c r="E239" i="41"/>
  <c r="F239" i="41" s="1"/>
  <c r="J238" i="41"/>
  <c r="I238" i="41"/>
  <c r="H238" i="41"/>
  <c r="G238" i="41"/>
  <c r="E238" i="41"/>
  <c r="F238" i="41" s="1"/>
  <c r="J237" i="41"/>
  <c r="I237" i="41"/>
  <c r="H237" i="41"/>
  <c r="G237" i="41"/>
  <c r="E237" i="41"/>
  <c r="F237" i="41" s="1"/>
  <c r="J236" i="41"/>
  <c r="I236" i="41"/>
  <c r="H236" i="41"/>
  <c r="G236" i="41"/>
  <c r="E236" i="41"/>
  <c r="F236" i="41" s="1"/>
  <c r="J235" i="41"/>
  <c r="I235" i="41"/>
  <c r="H235" i="41"/>
  <c r="G235" i="41"/>
  <c r="E235" i="41"/>
  <c r="F235" i="41" s="1"/>
  <c r="J234" i="41"/>
  <c r="I234" i="41"/>
  <c r="H234" i="41"/>
  <c r="G234" i="41"/>
  <c r="E234" i="41"/>
  <c r="F234" i="41" s="1"/>
  <c r="J233" i="41"/>
  <c r="I233" i="41"/>
  <c r="H233" i="41"/>
  <c r="G233" i="41"/>
  <c r="E233" i="41"/>
  <c r="F233" i="41" s="1"/>
  <c r="J232" i="41"/>
  <c r="I232" i="41"/>
  <c r="H232" i="41"/>
  <c r="G232" i="41"/>
  <c r="E232" i="41"/>
  <c r="F232" i="41" s="1"/>
  <c r="J231" i="41"/>
  <c r="I231" i="41"/>
  <c r="H231" i="41"/>
  <c r="G231" i="41"/>
  <c r="E231" i="41"/>
  <c r="F231" i="41" s="1"/>
  <c r="J230" i="41"/>
  <c r="I230" i="41"/>
  <c r="H230" i="41"/>
  <c r="G230" i="41"/>
  <c r="E230" i="41"/>
  <c r="F230" i="41" s="1"/>
  <c r="J229" i="41"/>
  <c r="I229" i="41"/>
  <c r="H229" i="41"/>
  <c r="G229" i="41"/>
  <c r="E229" i="41"/>
  <c r="F229" i="41" s="1"/>
  <c r="J228" i="41"/>
  <c r="I228" i="41"/>
  <c r="H228" i="41"/>
  <c r="G228" i="41"/>
  <c r="E228" i="41"/>
  <c r="F228" i="41" s="1"/>
  <c r="J227" i="41"/>
  <c r="I227" i="41"/>
  <c r="H227" i="41"/>
  <c r="G227" i="41"/>
  <c r="E227" i="41"/>
  <c r="F227" i="41" s="1"/>
  <c r="J226" i="41"/>
  <c r="I226" i="41"/>
  <c r="H226" i="41"/>
  <c r="G226" i="41"/>
  <c r="E226" i="41"/>
  <c r="F226" i="41" s="1"/>
  <c r="J225" i="41"/>
  <c r="I225" i="41"/>
  <c r="H225" i="41"/>
  <c r="G225" i="41"/>
  <c r="E225" i="41"/>
  <c r="F225" i="41" s="1"/>
  <c r="J224" i="41"/>
  <c r="I224" i="41"/>
  <c r="H224" i="41"/>
  <c r="G224" i="41"/>
  <c r="E224" i="41"/>
  <c r="F224" i="41" s="1"/>
  <c r="J223" i="41"/>
  <c r="I223" i="41"/>
  <c r="H223" i="41"/>
  <c r="G223" i="41"/>
  <c r="E223" i="41"/>
  <c r="F223" i="41" s="1"/>
  <c r="J222" i="41"/>
  <c r="I222" i="41"/>
  <c r="H222" i="41"/>
  <c r="G222" i="41"/>
  <c r="E222" i="41"/>
  <c r="F222" i="41" s="1"/>
  <c r="J221" i="41"/>
  <c r="I221" i="41"/>
  <c r="H221" i="41"/>
  <c r="G221" i="41"/>
  <c r="E221" i="41"/>
  <c r="F221" i="41" s="1"/>
  <c r="J220" i="41"/>
  <c r="I220" i="41"/>
  <c r="H220" i="41"/>
  <c r="G220" i="41"/>
  <c r="E220" i="41"/>
  <c r="F220" i="41" s="1"/>
  <c r="J219" i="41"/>
  <c r="I219" i="41"/>
  <c r="H219" i="41"/>
  <c r="G219" i="41"/>
  <c r="E219" i="41"/>
  <c r="F219" i="41" s="1"/>
  <c r="J218" i="41"/>
  <c r="I218" i="41"/>
  <c r="H218" i="41"/>
  <c r="G218" i="41"/>
  <c r="E218" i="41"/>
  <c r="F218" i="41" s="1"/>
  <c r="J217" i="41"/>
  <c r="I217" i="41"/>
  <c r="H217" i="41"/>
  <c r="G217" i="41"/>
  <c r="E217" i="41"/>
  <c r="F217" i="41" s="1"/>
  <c r="J216" i="41"/>
  <c r="I216" i="41"/>
  <c r="H216" i="41"/>
  <c r="G216" i="41"/>
  <c r="E216" i="41"/>
  <c r="F216" i="41" s="1"/>
  <c r="J215" i="41"/>
  <c r="I215" i="41"/>
  <c r="H215" i="41"/>
  <c r="G215" i="41"/>
  <c r="E215" i="41"/>
  <c r="F215" i="41" s="1"/>
  <c r="J214" i="41"/>
  <c r="I214" i="41"/>
  <c r="H214" i="41"/>
  <c r="G214" i="41"/>
  <c r="E214" i="41"/>
  <c r="F214" i="41" s="1"/>
  <c r="J213" i="41"/>
  <c r="I213" i="41"/>
  <c r="H213" i="41"/>
  <c r="G213" i="41"/>
  <c r="E213" i="41"/>
  <c r="F213" i="41" s="1"/>
  <c r="J212" i="41"/>
  <c r="I212" i="41"/>
  <c r="H212" i="41"/>
  <c r="G212" i="41"/>
  <c r="E212" i="41"/>
  <c r="F212" i="41" s="1"/>
  <c r="J211" i="41"/>
  <c r="I211" i="41"/>
  <c r="H211" i="41"/>
  <c r="G211" i="41"/>
  <c r="E211" i="41"/>
  <c r="F211" i="41" s="1"/>
  <c r="J210" i="41"/>
  <c r="I210" i="41"/>
  <c r="H210" i="41"/>
  <c r="G210" i="41"/>
  <c r="E210" i="41"/>
  <c r="F210" i="41" s="1"/>
  <c r="J209" i="41"/>
  <c r="I209" i="41"/>
  <c r="H209" i="41"/>
  <c r="G209" i="41"/>
  <c r="E209" i="41"/>
  <c r="F209" i="41" s="1"/>
  <c r="J208" i="41"/>
  <c r="I208" i="41"/>
  <c r="H208" i="41"/>
  <c r="G208" i="41"/>
  <c r="E208" i="41"/>
  <c r="F208" i="41" s="1"/>
  <c r="J207" i="41"/>
  <c r="I207" i="41"/>
  <c r="H207" i="41"/>
  <c r="G207" i="41"/>
  <c r="E207" i="41"/>
  <c r="F207" i="41" s="1"/>
  <c r="J206" i="41"/>
  <c r="I206" i="41"/>
  <c r="H206" i="41"/>
  <c r="G206" i="41"/>
  <c r="E206" i="41"/>
  <c r="F206" i="41" s="1"/>
  <c r="J205" i="41"/>
  <c r="I205" i="41"/>
  <c r="H205" i="41"/>
  <c r="G205" i="41"/>
  <c r="E205" i="41"/>
  <c r="F205" i="41" s="1"/>
  <c r="J204" i="41"/>
  <c r="I204" i="41"/>
  <c r="H204" i="41"/>
  <c r="G204" i="41"/>
  <c r="E204" i="41"/>
  <c r="F204" i="41" s="1"/>
  <c r="J203" i="41"/>
  <c r="I203" i="41"/>
  <c r="H203" i="41"/>
  <c r="G203" i="41"/>
  <c r="E203" i="41"/>
  <c r="F203" i="41" s="1"/>
  <c r="J202" i="41"/>
  <c r="I202" i="41"/>
  <c r="H202" i="41"/>
  <c r="G202" i="41"/>
  <c r="E202" i="41"/>
  <c r="F202" i="41" s="1"/>
  <c r="J201" i="41"/>
  <c r="I201" i="41"/>
  <c r="H201" i="41"/>
  <c r="G201" i="41"/>
  <c r="E201" i="41"/>
  <c r="F201" i="41" s="1"/>
  <c r="J200" i="41"/>
  <c r="I200" i="41"/>
  <c r="H200" i="41"/>
  <c r="G200" i="41"/>
  <c r="E200" i="41"/>
  <c r="F200" i="41" s="1"/>
  <c r="J199" i="41"/>
  <c r="I199" i="41"/>
  <c r="H199" i="41"/>
  <c r="G199" i="41"/>
  <c r="E199" i="41"/>
  <c r="F199" i="41" s="1"/>
  <c r="J198" i="41"/>
  <c r="I198" i="41"/>
  <c r="H198" i="41"/>
  <c r="G198" i="41"/>
  <c r="E198" i="41"/>
  <c r="F198" i="41" s="1"/>
  <c r="J197" i="41"/>
  <c r="I197" i="41"/>
  <c r="H197" i="41"/>
  <c r="G197" i="41"/>
  <c r="E197" i="41"/>
  <c r="F197" i="41" s="1"/>
  <c r="J196" i="41"/>
  <c r="I196" i="41"/>
  <c r="H196" i="41"/>
  <c r="G196" i="41"/>
  <c r="E196" i="41"/>
  <c r="F196" i="41" s="1"/>
  <c r="J195" i="41"/>
  <c r="I195" i="41"/>
  <c r="H195" i="41"/>
  <c r="G195" i="41"/>
  <c r="E195" i="41"/>
  <c r="F195" i="41" s="1"/>
  <c r="J194" i="41"/>
  <c r="I194" i="41"/>
  <c r="H194" i="41"/>
  <c r="G194" i="41"/>
  <c r="E194" i="41"/>
  <c r="F194" i="41" s="1"/>
  <c r="J193" i="41"/>
  <c r="I193" i="41"/>
  <c r="H193" i="41"/>
  <c r="G193" i="41"/>
  <c r="E193" i="41"/>
  <c r="F193" i="41" s="1"/>
  <c r="J192" i="41"/>
  <c r="I192" i="41"/>
  <c r="H192" i="41"/>
  <c r="G192" i="41"/>
  <c r="E192" i="41"/>
  <c r="F192" i="41" s="1"/>
  <c r="J191" i="41"/>
  <c r="I191" i="41"/>
  <c r="H191" i="41"/>
  <c r="G191" i="41"/>
  <c r="E191" i="41"/>
  <c r="F191" i="41" s="1"/>
  <c r="J190" i="41"/>
  <c r="I190" i="41"/>
  <c r="H190" i="41"/>
  <c r="G190" i="41"/>
  <c r="E190" i="41"/>
  <c r="F190" i="41" s="1"/>
  <c r="J189" i="41"/>
  <c r="I189" i="41"/>
  <c r="H189" i="41"/>
  <c r="G189" i="41"/>
  <c r="E189" i="41"/>
  <c r="F189" i="41" s="1"/>
  <c r="J188" i="41"/>
  <c r="I188" i="41"/>
  <c r="H188" i="41"/>
  <c r="G188" i="41"/>
  <c r="E188" i="41"/>
  <c r="F188" i="41" s="1"/>
  <c r="J187" i="41"/>
  <c r="I187" i="41"/>
  <c r="H187" i="41"/>
  <c r="G187" i="41"/>
  <c r="E187" i="41"/>
  <c r="F187" i="41" s="1"/>
  <c r="J186" i="41"/>
  <c r="I186" i="41"/>
  <c r="H186" i="41"/>
  <c r="G186" i="41"/>
  <c r="E186" i="41"/>
  <c r="F186" i="41" s="1"/>
  <c r="J185" i="41"/>
  <c r="I185" i="41"/>
  <c r="H185" i="41"/>
  <c r="G185" i="41"/>
  <c r="E185" i="41"/>
  <c r="F185" i="41" s="1"/>
  <c r="J184" i="41"/>
  <c r="I184" i="41"/>
  <c r="H184" i="41"/>
  <c r="G184" i="41"/>
  <c r="E184" i="41"/>
  <c r="F184" i="41" s="1"/>
  <c r="J183" i="41"/>
  <c r="I183" i="41"/>
  <c r="H183" i="41"/>
  <c r="G183" i="41"/>
  <c r="E183" i="41"/>
  <c r="F183" i="41" s="1"/>
  <c r="J182" i="41"/>
  <c r="I182" i="41"/>
  <c r="H182" i="41"/>
  <c r="G182" i="41"/>
  <c r="E182" i="41"/>
  <c r="F182" i="41" s="1"/>
  <c r="J181" i="41"/>
  <c r="I181" i="41"/>
  <c r="H181" i="41"/>
  <c r="G181" i="41"/>
  <c r="E181" i="41"/>
  <c r="F181" i="41" s="1"/>
  <c r="J180" i="41"/>
  <c r="I180" i="41"/>
  <c r="H180" i="41"/>
  <c r="G180" i="41"/>
  <c r="E180" i="41"/>
  <c r="F180" i="41" s="1"/>
  <c r="J179" i="41"/>
  <c r="I179" i="41"/>
  <c r="H179" i="41"/>
  <c r="G179" i="41"/>
  <c r="E179" i="41"/>
  <c r="F179" i="41" s="1"/>
  <c r="J178" i="41"/>
  <c r="I178" i="41"/>
  <c r="H178" i="41"/>
  <c r="G178" i="41"/>
  <c r="E178" i="41"/>
  <c r="F178" i="41" s="1"/>
  <c r="J177" i="41"/>
  <c r="I177" i="41"/>
  <c r="H177" i="41"/>
  <c r="G177" i="41"/>
  <c r="E177" i="41"/>
  <c r="F177" i="41" s="1"/>
  <c r="J176" i="41"/>
  <c r="I176" i="41"/>
  <c r="H176" i="41"/>
  <c r="G176" i="41"/>
  <c r="E176" i="41"/>
  <c r="F176" i="41" s="1"/>
  <c r="J175" i="41"/>
  <c r="I175" i="41"/>
  <c r="H175" i="41"/>
  <c r="G175" i="41"/>
  <c r="E175" i="41"/>
  <c r="F175" i="41" s="1"/>
  <c r="J174" i="41"/>
  <c r="I174" i="41"/>
  <c r="H174" i="41"/>
  <c r="G174" i="41"/>
  <c r="E174" i="41"/>
  <c r="F174" i="41" s="1"/>
  <c r="J173" i="41"/>
  <c r="I173" i="41"/>
  <c r="H173" i="41"/>
  <c r="G173" i="41"/>
  <c r="E173" i="41"/>
  <c r="F173" i="41" s="1"/>
  <c r="J172" i="41"/>
  <c r="I172" i="41"/>
  <c r="H172" i="41"/>
  <c r="G172" i="41"/>
  <c r="E172" i="41"/>
  <c r="F172" i="41" s="1"/>
  <c r="J171" i="41"/>
  <c r="I171" i="41"/>
  <c r="H171" i="41"/>
  <c r="G171" i="41"/>
  <c r="E171" i="41"/>
  <c r="F171" i="41" s="1"/>
  <c r="J170" i="41"/>
  <c r="I170" i="41"/>
  <c r="H170" i="41"/>
  <c r="G170" i="41"/>
  <c r="E170" i="41"/>
  <c r="F170" i="41" s="1"/>
  <c r="J169" i="41"/>
  <c r="I169" i="41"/>
  <c r="H169" i="41"/>
  <c r="G169" i="41"/>
  <c r="E169" i="41"/>
  <c r="F169" i="41" s="1"/>
  <c r="J168" i="41"/>
  <c r="I168" i="41"/>
  <c r="H168" i="41"/>
  <c r="G168" i="41"/>
  <c r="E168" i="41"/>
  <c r="F168" i="41" s="1"/>
  <c r="J167" i="41"/>
  <c r="I167" i="41"/>
  <c r="H167" i="41"/>
  <c r="G167" i="41"/>
  <c r="E167" i="41"/>
  <c r="F167" i="41" s="1"/>
  <c r="J166" i="41"/>
  <c r="I166" i="41"/>
  <c r="H166" i="41"/>
  <c r="G166" i="41"/>
  <c r="E166" i="41"/>
  <c r="F166" i="41" s="1"/>
  <c r="J165" i="41"/>
  <c r="I165" i="41"/>
  <c r="H165" i="41"/>
  <c r="G165" i="41"/>
  <c r="E165" i="41"/>
  <c r="F165" i="41" s="1"/>
  <c r="J164" i="41"/>
  <c r="I164" i="41"/>
  <c r="H164" i="41"/>
  <c r="G164" i="41"/>
  <c r="E164" i="41"/>
  <c r="F164" i="41" s="1"/>
  <c r="J163" i="41"/>
  <c r="I163" i="41"/>
  <c r="H163" i="41"/>
  <c r="G163" i="41"/>
  <c r="E163" i="41"/>
  <c r="F163" i="41" s="1"/>
  <c r="J162" i="41"/>
  <c r="I162" i="41"/>
  <c r="H162" i="41"/>
  <c r="G162" i="41"/>
  <c r="E162" i="41"/>
  <c r="F162" i="41" s="1"/>
  <c r="J161" i="41"/>
  <c r="I161" i="41"/>
  <c r="H161" i="41"/>
  <c r="G161" i="41"/>
  <c r="E161" i="41"/>
  <c r="F161" i="41" s="1"/>
  <c r="J160" i="41"/>
  <c r="I160" i="41"/>
  <c r="H160" i="41"/>
  <c r="G160" i="41"/>
  <c r="E160" i="41"/>
  <c r="F160" i="41" s="1"/>
  <c r="J159" i="41"/>
  <c r="I159" i="41"/>
  <c r="H159" i="41"/>
  <c r="G159" i="41"/>
  <c r="E159" i="41"/>
  <c r="F159" i="41" s="1"/>
  <c r="J158" i="41"/>
  <c r="I158" i="41"/>
  <c r="H158" i="41"/>
  <c r="G158" i="41"/>
  <c r="E158" i="41"/>
  <c r="F158" i="41" s="1"/>
  <c r="J157" i="41"/>
  <c r="I157" i="41"/>
  <c r="H157" i="41"/>
  <c r="G157" i="41"/>
  <c r="E157" i="41"/>
  <c r="F157" i="41" s="1"/>
  <c r="J156" i="41"/>
  <c r="I156" i="41"/>
  <c r="H156" i="41"/>
  <c r="G156" i="41"/>
  <c r="E156" i="41"/>
  <c r="F156" i="41" s="1"/>
  <c r="J155" i="41"/>
  <c r="I155" i="41"/>
  <c r="H155" i="41"/>
  <c r="G155" i="41"/>
  <c r="E155" i="41"/>
  <c r="F155" i="41" s="1"/>
  <c r="J154" i="41"/>
  <c r="I154" i="41"/>
  <c r="H154" i="41"/>
  <c r="G154" i="41"/>
  <c r="E154" i="41"/>
  <c r="F154" i="41" s="1"/>
  <c r="J153" i="41"/>
  <c r="I153" i="41"/>
  <c r="H153" i="41"/>
  <c r="G153" i="41"/>
  <c r="E153" i="41"/>
  <c r="F153" i="41" s="1"/>
  <c r="J152" i="41"/>
  <c r="I152" i="41"/>
  <c r="H152" i="41"/>
  <c r="G152" i="41"/>
  <c r="E152" i="41"/>
  <c r="F152" i="41" s="1"/>
  <c r="J151" i="41"/>
  <c r="I151" i="41"/>
  <c r="H151" i="41"/>
  <c r="G151" i="41"/>
  <c r="E151" i="41"/>
  <c r="F151" i="41" s="1"/>
  <c r="J150" i="41"/>
  <c r="I150" i="41"/>
  <c r="H150" i="41"/>
  <c r="G150" i="41"/>
  <c r="E150" i="41"/>
  <c r="F150" i="41" s="1"/>
  <c r="J149" i="41"/>
  <c r="I149" i="41"/>
  <c r="H149" i="41"/>
  <c r="G149" i="41"/>
  <c r="E149" i="41"/>
  <c r="F149" i="41" s="1"/>
  <c r="J148" i="41"/>
  <c r="I148" i="41"/>
  <c r="H148" i="41"/>
  <c r="G148" i="41"/>
  <c r="E148" i="41"/>
  <c r="F148" i="41" s="1"/>
  <c r="J147" i="41"/>
  <c r="I147" i="41"/>
  <c r="H147" i="41"/>
  <c r="G147" i="41"/>
  <c r="E147" i="41"/>
  <c r="F147" i="41" s="1"/>
  <c r="J146" i="41"/>
  <c r="I146" i="41"/>
  <c r="H146" i="41"/>
  <c r="G146" i="41"/>
  <c r="E146" i="41"/>
  <c r="F146" i="41" s="1"/>
  <c r="J145" i="41"/>
  <c r="I145" i="41"/>
  <c r="H145" i="41"/>
  <c r="G145" i="41"/>
  <c r="E145" i="41"/>
  <c r="F145" i="41" s="1"/>
  <c r="J144" i="41"/>
  <c r="I144" i="41"/>
  <c r="H144" i="41"/>
  <c r="G144" i="41"/>
  <c r="E144" i="41"/>
  <c r="F144" i="41" s="1"/>
  <c r="J143" i="41"/>
  <c r="I143" i="41"/>
  <c r="H143" i="41"/>
  <c r="G143" i="41"/>
  <c r="E143" i="41"/>
  <c r="F143" i="41" s="1"/>
  <c r="J142" i="41"/>
  <c r="I142" i="41"/>
  <c r="H142" i="41"/>
  <c r="G142" i="41"/>
  <c r="E142" i="41"/>
  <c r="F142" i="41" s="1"/>
  <c r="J141" i="41"/>
  <c r="I141" i="41"/>
  <c r="H141" i="41"/>
  <c r="G141" i="41"/>
  <c r="E141" i="41"/>
  <c r="F141" i="41" s="1"/>
  <c r="J140" i="41"/>
  <c r="I140" i="41"/>
  <c r="H140" i="41"/>
  <c r="G140" i="41"/>
  <c r="E140" i="41"/>
  <c r="F140" i="41" s="1"/>
  <c r="J139" i="41"/>
  <c r="I139" i="41"/>
  <c r="H139" i="41"/>
  <c r="G139" i="41"/>
  <c r="E139" i="41"/>
  <c r="F139" i="41" s="1"/>
  <c r="J138" i="41"/>
  <c r="I138" i="41"/>
  <c r="H138" i="41"/>
  <c r="G138" i="41"/>
  <c r="E138" i="41"/>
  <c r="F138" i="41" s="1"/>
  <c r="J137" i="41"/>
  <c r="I137" i="41"/>
  <c r="H137" i="41"/>
  <c r="G137" i="41"/>
  <c r="E137" i="41"/>
  <c r="F137" i="41" s="1"/>
  <c r="J136" i="41"/>
  <c r="I136" i="41"/>
  <c r="H136" i="41"/>
  <c r="G136" i="41"/>
  <c r="E136" i="41"/>
  <c r="F136" i="41" s="1"/>
  <c r="J135" i="41"/>
  <c r="I135" i="41"/>
  <c r="H135" i="41"/>
  <c r="G135" i="41"/>
  <c r="E135" i="41"/>
  <c r="F135" i="41" s="1"/>
  <c r="J134" i="41"/>
  <c r="I134" i="41"/>
  <c r="H134" i="41"/>
  <c r="G134" i="41"/>
  <c r="E134" i="41"/>
  <c r="F134" i="41" s="1"/>
  <c r="J133" i="41"/>
  <c r="I133" i="41"/>
  <c r="H133" i="41"/>
  <c r="G133" i="41"/>
  <c r="E133" i="41"/>
  <c r="F133" i="41" s="1"/>
  <c r="J132" i="41"/>
  <c r="I132" i="41"/>
  <c r="H132" i="41"/>
  <c r="G132" i="41"/>
  <c r="E132" i="41"/>
  <c r="F132" i="41" s="1"/>
  <c r="J131" i="41"/>
  <c r="I131" i="41"/>
  <c r="H131" i="41"/>
  <c r="G131" i="41"/>
  <c r="E131" i="41"/>
  <c r="F131" i="41" s="1"/>
  <c r="J130" i="41"/>
  <c r="I130" i="41"/>
  <c r="H130" i="41"/>
  <c r="G130" i="41"/>
  <c r="E130" i="41"/>
  <c r="F130" i="41" s="1"/>
  <c r="J129" i="41"/>
  <c r="I129" i="41"/>
  <c r="H129" i="41"/>
  <c r="G129" i="41"/>
  <c r="E129" i="41"/>
  <c r="F129" i="41" s="1"/>
  <c r="J128" i="41"/>
  <c r="I128" i="41"/>
  <c r="H128" i="41"/>
  <c r="G128" i="41"/>
  <c r="E128" i="41"/>
  <c r="F128" i="41" s="1"/>
  <c r="J127" i="41"/>
  <c r="I127" i="41"/>
  <c r="H127" i="41"/>
  <c r="G127" i="41"/>
  <c r="E127" i="41"/>
  <c r="F127" i="41" s="1"/>
  <c r="J126" i="41"/>
  <c r="I126" i="41"/>
  <c r="H126" i="41"/>
  <c r="G126" i="41"/>
  <c r="E126" i="41"/>
  <c r="F126" i="41" s="1"/>
  <c r="J125" i="41"/>
  <c r="I125" i="41"/>
  <c r="H125" i="41"/>
  <c r="G125" i="41"/>
  <c r="E125" i="41"/>
  <c r="F125" i="41" s="1"/>
  <c r="J124" i="41"/>
  <c r="I124" i="41"/>
  <c r="H124" i="41"/>
  <c r="G124" i="41"/>
  <c r="E124" i="41"/>
  <c r="F124" i="41" s="1"/>
  <c r="J123" i="41"/>
  <c r="I123" i="41"/>
  <c r="H123" i="41"/>
  <c r="G123" i="41"/>
  <c r="E123" i="41"/>
  <c r="F123" i="41" s="1"/>
  <c r="J122" i="41"/>
  <c r="I122" i="41"/>
  <c r="H122" i="41"/>
  <c r="G122" i="41"/>
  <c r="E122" i="41"/>
  <c r="F122" i="41" s="1"/>
  <c r="J121" i="41"/>
  <c r="I121" i="41"/>
  <c r="H121" i="41"/>
  <c r="G121" i="41"/>
  <c r="E121" i="41"/>
  <c r="F121" i="41" s="1"/>
  <c r="J120" i="41"/>
  <c r="I120" i="41"/>
  <c r="H120" i="41"/>
  <c r="G120" i="41"/>
  <c r="E120" i="41"/>
  <c r="F120" i="41" s="1"/>
  <c r="J119" i="41"/>
  <c r="I119" i="41"/>
  <c r="H119" i="41"/>
  <c r="G119" i="41"/>
  <c r="E119" i="41"/>
  <c r="F119" i="41" s="1"/>
  <c r="J118" i="41"/>
  <c r="I118" i="41"/>
  <c r="H118" i="41"/>
  <c r="G118" i="41"/>
  <c r="E118" i="41"/>
  <c r="F118" i="41" s="1"/>
  <c r="J117" i="41"/>
  <c r="I117" i="41"/>
  <c r="H117" i="41"/>
  <c r="G117" i="41"/>
  <c r="E117" i="41"/>
  <c r="F117" i="41" s="1"/>
  <c r="J116" i="41"/>
  <c r="I116" i="41"/>
  <c r="H116" i="41"/>
  <c r="G116" i="41"/>
  <c r="E116" i="41"/>
  <c r="F116" i="41" s="1"/>
  <c r="J115" i="41"/>
  <c r="I115" i="41"/>
  <c r="H115" i="41"/>
  <c r="G115" i="41"/>
  <c r="E115" i="41"/>
  <c r="F115" i="41" s="1"/>
  <c r="J114" i="41"/>
  <c r="I114" i="41"/>
  <c r="H114" i="41"/>
  <c r="G114" i="41"/>
  <c r="E114" i="41"/>
  <c r="F114" i="41" s="1"/>
  <c r="J113" i="41"/>
  <c r="I113" i="41"/>
  <c r="H113" i="41"/>
  <c r="G113" i="41"/>
  <c r="E113" i="41"/>
  <c r="F113" i="41" s="1"/>
  <c r="J112" i="41"/>
  <c r="I112" i="41"/>
  <c r="H112" i="41"/>
  <c r="G112" i="41"/>
  <c r="E112" i="41"/>
  <c r="F112" i="41" s="1"/>
  <c r="J111" i="41"/>
  <c r="I111" i="41"/>
  <c r="H111" i="41"/>
  <c r="G111" i="41"/>
  <c r="E111" i="41"/>
  <c r="F111" i="41" s="1"/>
  <c r="J110" i="41"/>
  <c r="I110" i="41"/>
  <c r="H110" i="41"/>
  <c r="G110" i="41"/>
  <c r="E110" i="41"/>
  <c r="F110" i="41" s="1"/>
  <c r="J109" i="41"/>
  <c r="I109" i="41"/>
  <c r="H109" i="41"/>
  <c r="G109" i="41"/>
  <c r="E109" i="41"/>
  <c r="F109" i="41" s="1"/>
  <c r="J108" i="41"/>
  <c r="I108" i="41"/>
  <c r="H108" i="41"/>
  <c r="G108" i="41"/>
  <c r="E108" i="41"/>
  <c r="F108" i="41" s="1"/>
  <c r="J107" i="41"/>
  <c r="I107" i="41"/>
  <c r="H107" i="41"/>
  <c r="G107" i="41"/>
  <c r="E107" i="41"/>
  <c r="F107" i="41" s="1"/>
  <c r="J106" i="41"/>
  <c r="I106" i="41"/>
  <c r="H106" i="41"/>
  <c r="G106" i="41"/>
  <c r="E106" i="41"/>
  <c r="F106" i="41" s="1"/>
  <c r="J105" i="41"/>
  <c r="I105" i="41"/>
  <c r="H105" i="41"/>
  <c r="G105" i="41"/>
  <c r="E105" i="41"/>
  <c r="F105" i="41" s="1"/>
  <c r="J104" i="41"/>
  <c r="I104" i="41"/>
  <c r="H104" i="41"/>
  <c r="G104" i="41"/>
  <c r="E104" i="41"/>
  <c r="F104" i="41" s="1"/>
  <c r="J103" i="41"/>
  <c r="I103" i="41"/>
  <c r="H103" i="41"/>
  <c r="G103" i="41"/>
  <c r="E103" i="41"/>
  <c r="F103" i="41" s="1"/>
  <c r="J102" i="41"/>
  <c r="I102" i="41"/>
  <c r="H102" i="41"/>
  <c r="G102" i="41"/>
  <c r="E102" i="41"/>
  <c r="J101" i="41"/>
  <c r="I101" i="41"/>
  <c r="H101" i="41"/>
  <c r="G101" i="41"/>
  <c r="E101" i="41"/>
  <c r="F101" i="41" s="1"/>
  <c r="J100" i="41"/>
  <c r="I100" i="41"/>
  <c r="H100" i="41"/>
  <c r="G100" i="41"/>
  <c r="E100" i="41"/>
  <c r="F100" i="41" s="1"/>
  <c r="J99" i="41"/>
  <c r="I99" i="41"/>
  <c r="H99" i="41"/>
  <c r="G99" i="41"/>
  <c r="E99" i="41"/>
  <c r="F99" i="41" s="1"/>
  <c r="J98" i="41"/>
  <c r="I98" i="41"/>
  <c r="H98" i="41"/>
  <c r="G98" i="41"/>
  <c r="E98" i="41"/>
  <c r="F98" i="41" s="1"/>
  <c r="J97" i="41"/>
  <c r="I97" i="41"/>
  <c r="H97" i="41"/>
  <c r="G97" i="41"/>
  <c r="E97" i="41"/>
  <c r="F97" i="41" s="1"/>
  <c r="J96" i="41"/>
  <c r="I96" i="41"/>
  <c r="H96" i="41"/>
  <c r="G96" i="41"/>
  <c r="E96" i="41"/>
  <c r="F96" i="41" s="1"/>
  <c r="J95" i="41"/>
  <c r="I95" i="41"/>
  <c r="H95" i="41"/>
  <c r="G95" i="41"/>
  <c r="E95" i="41"/>
  <c r="F95" i="41" s="1"/>
  <c r="J94" i="41"/>
  <c r="I94" i="41"/>
  <c r="H94" i="41"/>
  <c r="G94" i="41"/>
  <c r="E94" i="41"/>
  <c r="F94" i="41" s="1"/>
  <c r="J93" i="41"/>
  <c r="I93" i="41"/>
  <c r="H93" i="41"/>
  <c r="G93" i="41"/>
  <c r="E93" i="41"/>
  <c r="F93" i="41" s="1"/>
  <c r="J92" i="41"/>
  <c r="I92" i="41"/>
  <c r="H92" i="41"/>
  <c r="G92" i="41"/>
  <c r="E92" i="41"/>
  <c r="F92" i="41" s="1"/>
  <c r="J91" i="41"/>
  <c r="I91" i="41"/>
  <c r="H91" i="41"/>
  <c r="G91" i="41"/>
  <c r="E91" i="41"/>
  <c r="F91" i="41" s="1"/>
  <c r="J90" i="41"/>
  <c r="I90" i="41"/>
  <c r="H90" i="41"/>
  <c r="G90" i="41"/>
  <c r="E90" i="41"/>
  <c r="F90" i="41" s="1"/>
  <c r="J89" i="41"/>
  <c r="I89" i="41"/>
  <c r="H89" i="41"/>
  <c r="G89" i="41"/>
  <c r="E89" i="41"/>
  <c r="F89" i="41" s="1"/>
  <c r="J88" i="41"/>
  <c r="I88" i="41"/>
  <c r="H88" i="41"/>
  <c r="G88" i="41"/>
  <c r="E88" i="41"/>
  <c r="F88" i="41" s="1"/>
  <c r="J87" i="41"/>
  <c r="I87" i="41"/>
  <c r="H87" i="41"/>
  <c r="G87" i="41"/>
  <c r="E87" i="41"/>
  <c r="F87" i="41" s="1"/>
  <c r="J86" i="41"/>
  <c r="I86" i="41"/>
  <c r="H86" i="41"/>
  <c r="G86" i="41"/>
  <c r="E86" i="41"/>
  <c r="F86" i="41" s="1"/>
  <c r="J85" i="41"/>
  <c r="I85" i="41"/>
  <c r="H85" i="41"/>
  <c r="G85" i="41"/>
  <c r="E85" i="41"/>
  <c r="F85" i="41" s="1"/>
  <c r="J84" i="41"/>
  <c r="I84" i="41"/>
  <c r="H84" i="41"/>
  <c r="G84" i="41"/>
  <c r="E84" i="41"/>
  <c r="F84" i="41" s="1"/>
  <c r="J83" i="41"/>
  <c r="I83" i="41"/>
  <c r="H83" i="41"/>
  <c r="G83" i="41"/>
  <c r="E83" i="41"/>
  <c r="F83" i="41" s="1"/>
  <c r="J82" i="41"/>
  <c r="I82" i="41"/>
  <c r="H82" i="41"/>
  <c r="G82" i="41"/>
  <c r="E82" i="41"/>
  <c r="F82" i="41" s="1"/>
  <c r="J81" i="41"/>
  <c r="I81" i="41"/>
  <c r="H81" i="41"/>
  <c r="G81" i="41"/>
  <c r="E81" i="41"/>
  <c r="F81" i="41" s="1"/>
  <c r="J80" i="41"/>
  <c r="I80" i="41"/>
  <c r="H80" i="41"/>
  <c r="G80" i="41"/>
  <c r="E80" i="41"/>
  <c r="F80" i="41" s="1"/>
  <c r="J79" i="41"/>
  <c r="I79" i="41"/>
  <c r="H79" i="41"/>
  <c r="G79" i="41"/>
  <c r="E79" i="41"/>
  <c r="F79" i="41" s="1"/>
  <c r="J78" i="41"/>
  <c r="I78" i="41"/>
  <c r="H78" i="41"/>
  <c r="G78" i="41"/>
  <c r="E78" i="41"/>
  <c r="F78" i="41" s="1"/>
  <c r="J77" i="41"/>
  <c r="I77" i="41"/>
  <c r="H77" i="41"/>
  <c r="G77" i="41"/>
  <c r="E77" i="41"/>
  <c r="F77" i="41" s="1"/>
  <c r="J76" i="41"/>
  <c r="I76" i="41"/>
  <c r="H76" i="41"/>
  <c r="G76" i="41"/>
  <c r="E76" i="41"/>
  <c r="F76" i="41" s="1"/>
  <c r="J75" i="41"/>
  <c r="I75" i="41"/>
  <c r="H75" i="41"/>
  <c r="G75" i="41"/>
  <c r="E75" i="41"/>
  <c r="F75" i="41" s="1"/>
  <c r="J74" i="41"/>
  <c r="I74" i="41"/>
  <c r="H74" i="41"/>
  <c r="G74" i="41"/>
  <c r="F74" i="41"/>
  <c r="E74" i="41"/>
  <c r="J73" i="41"/>
  <c r="I73" i="41"/>
  <c r="H73" i="41"/>
  <c r="G73" i="41"/>
  <c r="E73" i="41"/>
  <c r="F73" i="41" s="1"/>
  <c r="J72" i="41"/>
  <c r="I72" i="41"/>
  <c r="H72" i="41"/>
  <c r="G72" i="41"/>
  <c r="E72" i="41"/>
  <c r="F72" i="41" s="1"/>
  <c r="J71" i="41"/>
  <c r="I71" i="41"/>
  <c r="H71" i="41"/>
  <c r="G71" i="41"/>
  <c r="F71" i="41"/>
  <c r="E71" i="41"/>
  <c r="J70" i="41"/>
  <c r="I70" i="41"/>
  <c r="H70" i="41"/>
  <c r="G70" i="41"/>
  <c r="E70" i="41"/>
  <c r="F70" i="41" s="1"/>
  <c r="J69" i="41"/>
  <c r="I69" i="41"/>
  <c r="H69" i="41"/>
  <c r="G69" i="41"/>
  <c r="E69" i="41"/>
  <c r="F69" i="41" s="1"/>
  <c r="J68" i="41"/>
  <c r="I68" i="41"/>
  <c r="H68" i="41"/>
  <c r="G68" i="41"/>
  <c r="E68" i="41"/>
  <c r="F68" i="41" s="1"/>
  <c r="J67" i="41"/>
  <c r="I67" i="41"/>
  <c r="H67" i="41"/>
  <c r="G67" i="41"/>
  <c r="E67" i="41"/>
  <c r="F67" i="41" s="1"/>
  <c r="J66" i="41"/>
  <c r="I66" i="41"/>
  <c r="H66" i="41"/>
  <c r="G66" i="41"/>
  <c r="E66" i="41"/>
  <c r="F66" i="41" s="1"/>
  <c r="J65" i="41"/>
  <c r="I65" i="41"/>
  <c r="H65" i="41"/>
  <c r="G65" i="41"/>
  <c r="E65" i="41"/>
  <c r="F65" i="41" s="1"/>
  <c r="J64" i="41"/>
  <c r="I64" i="41"/>
  <c r="H64" i="41"/>
  <c r="G64" i="41"/>
  <c r="E64" i="41"/>
  <c r="F64" i="41" s="1"/>
  <c r="J63" i="41"/>
  <c r="I63" i="41"/>
  <c r="H63" i="41"/>
  <c r="G63" i="41"/>
  <c r="E63" i="41"/>
  <c r="F63" i="41" s="1"/>
  <c r="J62" i="41"/>
  <c r="I62" i="41"/>
  <c r="H62" i="41"/>
  <c r="G62" i="41"/>
  <c r="E62" i="41"/>
  <c r="F62" i="41" s="1"/>
  <c r="J61" i="41"/>
  <c r="I61" i="41"/>
  <c r="H61" i="41"/>
  <c r="G61" i="41"/>
  <c r="E61" i="41"/>
  <c r="F61" i="41" s="1"/>
  <c r="J60" i="41"/>
  <c r="I60" i="41"/>
  <c r="H60" i="41"/>
  <c r="G60" i="41"/>
  <c r="E60" i="41"/>
  <c r="F60" i="41" s="1"/>
  <c r="J59" i="41"/>
  <c r="I59" i="41"/>
  <c r="H59" i="41"/>
  <c r="G59" i="41"/>
  <c r="E59" i="41"/>
  <c r="F59" i="41" s="1"/>
  <c r="J58" i="41"/>
  <c r="I58" i="41"/>
  <c r="H58" i="41"/>
  <c r="G58" i="41"/>
  <c r="E58" i="41"/>
  <c r="F58" i="41" s="1"/>
  <c r="J57" i="41"/>
  <c r="I57" i="41"/>
  <c r="H57" i="41"/>
  <c r="G57" i="41"/>
  <c r="E57" i="41"/>
  <c r="F57" i="41" s="1"/>
  <c r="J56" i="41"/>
  <c r="I56" i="41"/>
  <c r="H56" i="41"/>
  <c r="G56" i="41"/>
  <c r="E56" i="41"/>
  <c r="F56" i="41" s="1"/>
  <c r="J55" i="41"/>
  <c r="I55" i="41"/>
  <c r="H55" i="41"/>
  <c r="G55" i="41"/>
  <c r="E55" i="41"/>
  <c r="F55" i="41" s="1"/>
  <c r="J54" i="41"/>
  <c r="I54" i="41"/>
  <c r="H54" i="41"/>
  <c r="G54" i="41"/>
  <c r="E54" i="41"/>
  <c r="F54" i="41" s="1"/>
  <c r="J53" i="41"/>
  <c r="I53" i="41"/>
  <c r="H53" i="41"/>
  <c r="G53" i="41"/>
  <c r="E53" i="41"/>
  <c r="F53" i="41" s="1"/>
  <c r="J52" i="41"/>
  <c r="I52" i="41"/>
  <c r="H52" i="41"/>
  <c r="G52" i="41"/>
  <c r="E52" i="41"/>
  <c r="F52" i="41" s="1"/>
  <c r="J51" i="41"/>
  <c r="I51" i="41"/>
  <c r="H51" i="41"/>
  <c r="G51" i="41"/>
  <c r="E51" i="41"/>
  <c r="F51" i="41" s="1"/>
  <c r="J50" i="41"/>
  <c r="I50" i="41"/>
  <c r="H50" i="41"/>
  <c r="G50" i="41"/>
  <c r="E50" i="41"/>
  <c r="F50" i="41" s="1"/>
  <c r="J49" i="41"/>
  <c r="I49" i="41"/>
  <c r="H49" i="41"/>
  <c r="G49" i="41"/>
  <c r="E49" i="41"/>
  <c r="F49" i="41" s="1"/>
  <c r="J48" i="41"/>
  <c r="I48" i="41"/>
  <c r="H48" i="41"/>
  <c r="G48" i="41"/>
  <c r="E48" i="41"/>
  <c r="F48" i="41" s="1"/>
  <c r="J47" i="41"/>
  <c r="I47" i="41"/>
  <c r="H47" i="41"/>
  <c r="G47" i="41"/>
  <c r="E47" i="41"/>
  <c r="F47" i="41" s="1"/>
  <c r="J46" i="41"/>
  <c r="I46" i="41"/>
  <c r="H46" i="41"/>
  <c r="G46" i="41"/>
  <c r="E46" i="41"/>
  <c r="F46" i="41" s="1"/>
  <c r="J45" i="41"/>
  <c r="I45" i="41"/>
  <c r="H45" i="41"/>
  <c r="G45" i="41"/>
  <c r="E45" i="41"/>
  <c r="F45" i="41" s="1"/>
  <c r="J44" i="41"/>
  <c r="I44" i="41"/>
  <c r="H44" i="41"/>
  <c r="G44" i="41"/>
  <c r="E44" i="41"/>
  <c r="F44" i="41" s="1"/>
  <c r="J43" i="41"/>
  <c r="I43" i="41"/>
  <c r="H43" i="41"/>
  <c r="G43" i="41"/>
  <c r="E43" i="41"/>
  <c r="F43" i="41" s="1"/>
  <c r="J42" i="41"/>
  <c r="I42" i="41"/>
  <c r="H42" i="41"/>
  <c r="G42" i="41"/>
  <c r="E42" i="41"/>
  <c r="F42" i="41" s="1"/>
  <c r="J41" i="41"/>
  <c r="I41" i="41"/>
  <c r="H41" i="41"/>
  <c r="G41" i="41"/>
  <c r="E41" i="41"/>
  <c r="F41" i="41" s="1"/>
  <c r="J40" i="41"/>
  <c r="I40" i="41"/>
  <c r="H40" i="41"/>
  <c r="G40" i="41"/>
  <c r="E40" i="41"/>
  <c r="F40" i="41" s="1"/>
  <c r="J39" i="41"/>
  <c r="I39" i="41"/>
  <c r="H39" i="41"/>
  <c r="G39" i="41"/>
  <c r="E39" i="41"/>
  <c r="F39" i="41" s="1"/>
  <c r="J38" i="41"/>
  <c r="I38" i="41"/>
  <c r="H38" i="41"/>
  <c r="G38" i="41"/>
  <c r="E38" i="41"/>
  <c r="F38" i="41" s="1"/>
  <c r="J37" i="41"/>
  <c r="I37" i="41"/>
  <c r="H37" i="41"/>
  <c r="G37" i="41"/>
  <c r="E37" i="41"/>
  <c r="F37" i="41" s="1"/>
  <c r="J36" i="41"/>
  <c r="I36" i="41"/>
  <c r="H36" i="41"/>
  <c r="G36" i="41"/>
  <c r="E36" i="41"/>
  <c r="F36" i="41" s="1"/>
  <c r="J35" i="41"/>
  <c r="I35" i="41"/>
  <c r="H35" i="41"/>
  <c r="G35" i="41"/>
  <c r="E35" i="41"/>
  <c r="F35" i="41" s="1"/>
  <c r="J34" i="41"/>
  <c r="I34" i="41"/>
  <c r="H34" i="41"/>
  <c r="G34" i="41"/>
  <c r="E34" i="41"/>
  <c r="F34" i="41" s="1"/>
  <c r="J33" i="41"/>
  <c r="I33" i="41"/>
  <c r="H33" i="41"/>
  <c r="G33" i="41"/>
  <c r="E33" i="41"/>
  <c r="F33" i="41" s="1"/>
  <c r="J32" i="41"/>
  <c r="I32" i="41"/>
  <c r="H32" i="41"/>
  <c r="G32" i="41"/>
  <c r="E32" i="41"/>
  <c r="F32" i="41" s="1"/>
  <c r="J31" i="41"/>
  <c r="I31" i="41"/>
  <c r="H31" i="41"/>
  <c r="G31" i="41"/>
  <c r="E31" i="41"/>
  <c r="F31" i="41" s="1"/>
  <c r="J30" i="41"/>
  <c r="I30" i="41"/>
  <c r="H30" i="41"/>
  <c r="G30" i="41"/>
  <c r="E30" i="41"/>
  <c r="F30" i="41" s="1"/>
  <c r="J29" i="41"/>
  <c r="I29" i="41"/>
  <c r="H29" i="41"/>
  <c r="G29" i="41"/>
  <c r="E29" i="41"/>
  <c r="F29" i="41" s="1"/>
  <c r="J28" i="41"/>
  <c r="I28" i="41"/>
  <c r="H28" i="41"/>
  <c r="G28" i="41"/>
  <c r="E28" i="41"/>
  <c r="F28" i="41" s="1"/>
  <c r="J27" i="41"/>
  <c r="I27" i="41"/>
  <c r="H27" i="41"/>
  <c r="G27" i="41"/>
  <c r="E27" i="41"/>
  <c r="F27" i="41" s="1"/>
  <c r="J26" i="41"/>
  <c r="I26" i="41"/>
  <c r="H26" i="41"/>
  <c r="G26" i="41"/>
  <c r="E26" i="41"/>
  <c r="F26" i="41" s="1"/>
  <c r="J25" i="41"/>
  <c r="I25" i="41"/>
  <c r="H25" i="41"/>
  <c r="G25" i="41"/>
  <c r="E25" i="41"/>
  <c r="F25" i="41" s="1"/>
  <c r="J24" i="41"/>
  <c r="I24" i="41"/>
  <c r="H24" i="41"/>
  <c r="G24" i="41"/>
  <c r="E24" i="41"/>
  <c r="F24" i="41" s="1"/>
  <c r="J23" i="41"/>
  <c r="I23" i="41"/>
  <c r="H23" i="41"/>
  <c r="G23" i="41"/>
  <c r="E23" i="41"/>
  <c r="F23" i="41" s="1"/>
  <c r="J22" i="41"/>
  <c r="I22" i="41"/>
  <c r="H22" i="41"/>
  <c r="G22" i="41"/>
  <c r="E22" i="41"/>
  <c r="F22" i="41" s="1"/>
  <c r="J21" i="41"/>
  <c r="I21" i="41"/>
  <c r="H21" i="41"/>
  <c r="G21" i="41"/>
  <c r="E21" i="41"/>
  <c r="F21" i="41" s="1"/>
  <c r="J20" i="41"/>
  <c r="I20" i="41"/>
  <c r="H20" i="41"/>
  <c r="G20" i="41"/>
  <c r="E20" i="41"/>
  <c r="F20" i="41" s="1"/>
  <c r="J19" i="41"/>
  <c r="I19" i="41"/>
  <c r="H19" i="41"/>
  <c r="G19" i="41"/>
  <c r="E19" i="41"/>
  <c r="F19" i="41" s="1"/>
  <c r="J18" i="41"/>
  <c r="I18" i="41"/>
  <c r="H18" i="41"/>
  <c r="G18" i="41"/>
  <c r="E18" i="41"/>
  <c r="F18" i="41" s="1"/>
  <c r="J17" i="41"/>
  <c r="I17" i="41"/>
  <c r="H17" i="41"/>
  <c r="G17" i="41"/>
  <c r="E17" i="41"/>
  <c r="F17" i="41" s="1"/>
  <c r="J16" i="41"/>
  <c r="I16" i="41"/>
  <c r="H16" i="41"/>
  <c r="G16" i="41"/>
  <c r="E16" i="41"/>
  <c r="F16" i="41" s="1"/>
  <c r="J15" i="41"/>
  <c r="I15" i="41"/>
  <c r="H15" i="41"/>
  <c r="G15" i="41"/>
  <c r="E15" i="41"/>
  <c r="F15" i="41" s="1"/>
  <c r="J14" i="41"/>
  <c r="I14" i="41"/>
  <c r="H14" i="41"/>
  <c r="G14" i="41"/>
  <c r="E14" i="41"/>
  <c r="F14" i="41" s="1"/>
  <c r="J13" i="41"/>
  <c r="I13" i="41"/>
  <c r="H13" i="41"/>
  <c r="G13" i="41"/>
  <c r="E13" i="41"/>
  <c r="F13" i="41" s="1"/>
  <c r="J12" i="41"/>
  <c r="I12" i="41"/>
  <c r="H12" i="41"/>
  <c r="G12" i="41"/>
  <c r="E12" i="41"/>
  <c r="F12" i="41" s="1"/>
  <c r="J11" i="41"/>
  <c r="I11" i="41"/>
  <c r="H11" i="41"/>
  <c r="G11" i="41"/>
  <c r="E11" i="41"/>
  <c r="F11" i="41" s="1"/>
  <c r="J10" i="41"/>
  <c r="I10" i="41"/>
  <c r="H10" i="41"/>
  <c r="G10" i="41"/>
  <c r="E10" i="41"/>
  <c r="F10" i="41" s="1"/>
  <c r="J9" i="41"/>
  <c r="I9" i="41"/>
  <c r="H9" i="41"/>
  <c r="G9" i="41"/>
  <c r="E9" i="41"/>
  <c r="F9" i="41" s="1"/>
  <c r="J8" i="41"/>
  <c r="I8" i="41"/>
  <c r="H8" i="41"/>
  <c r="G8" i="41"/>
  <c r="E8" i="41"/>
  <c r="F8" i="41" s="1"/>
  <c r="J7" i="41"/>
  <c r="I7" i="41"/>
  <c r="H7" i="41"/>
  <c r="G7" i="41"/>
  <c r="E7" i="41"/>
  <c r="F7" i="41" s="1"/>
  <c r="J6" i="41"/>
  <c r="I6" i="41"/>
  <c r="H6" i="41"/>
  <c r="G6" i="41"/>
  <c r="E6" i="41"/>
  <c r="F6" i="41" s="1"/>
  <c r="J5" i="41"/>
  <c r="I5" i="41"/>
  <c r="H5" i="41"/>
  <c r="G5" i="41"/>
  <c r="E5" i="41"/>
  <c r="F5" i="41" s="1"/>
  <c r="J4" i="41"/>
  <c r="I4" i="41"/>
  <c r="H4" i="41"/>
  <c r="G4" i="41"/>
  <c r="E4" i="41"/>
  <c r="F4" i="41" s="1"/>
  <c r="D2" i="41"/>
  <c r="C2" i="41"/>
  <c r="A26" i="53"/>
  <c r="A24" i="53"/>
  <c r="A21" i="53"/>
  <c r="A18" i="53"/>
  <c r="A15" i="53"/>
  <c r="A12" i="53"/>
  <c r="A9" i="53"/>
  <c r="A8" i="53"/>
  <c r="A7" i="53"/>
  <c r="A6" i="53"/>
  <c r="A5" i="53"/>
  <c r="E35" i="45"/>
  <c r="E34" i="45"/>
  <c r="E33" i="45"/>
  <c r="E32" i="45"/>
  <c r="E31" i="45"/>
  <c r="E30" i="45"/>
  <c r="E29" i="45"/>
  <c r="E28" i="45"/>
  <c r="E27" i="45"/>
  <c r="E26" i="45"/>
  <c r="E25" i="45"/>
  <c r="E24" i="45"/>
  <c r="E23" i="45"/>
  <c r="E22" i="45"/>
  <c r="E16" i="45"/>
  <c r="C21" i="46"/>
  <c r="C23" i="46" s="1"/>
  <c r="C18" i="46"/>
  <c r="C15" i="46"/>
  <c r="C14" i="46"/>
  <c r="E17" i="47"/>
  <c r="E9" i="47"/>
  <c r="E8" i="47"/>
  <c r="B8" i="47"/>
  <c r="B10" i="47" s="1"/>
  <c r="A130" i="36"/>
  <c r="A94" i="36"/>
  <c r="A32" i="36"/>
  <c r="A84" i="36" s="1"/>
  <c r="A102" i="36" s="1"/>
  <c r="F79" i="44"/>
  <c r="F69" i="44"/>
  <c r="E66" i="44"/>
  <c r="H64" i="44"/>
  <c r="H66" i="44" s="1"/>
  <c r="G64" i="44"/>
  <c r="G66" i="44" s="1"/>
  <c r="E64" i="44"/>
  <c r="F61" i="44"/>
  <c r="F64" i="44" s="1"/>
  <c r="F66" i="44" s="1"/>
  <c r="H45" i="44"/>
  <c r="G45" i="44"/>
  <c r="E45" i="44"/>
  <c r="F43" i="44"/>
  <c r="F45" i="44" s="1"/>
  <c r="H38" i="44"/>
  <c r="G38" i="44"/>
  <c r="E38" i="44"/>
  <c r="F36" i="44"/>
  <c r="F73" i="44" s="1"/>
  <c r="H31" i="44"/>
  <c r="G31" i="44"/>
  <c r="F29" i="44"/>
  <c r="F75" i="44" s="1"/>
  <c r="F27" i="44"/>
  <c r="E26" i="44"/>
  <c r="F26" i="44" s="1"/>
  <c r="H22" i="44"/>
  <c r="G22" i="44"/>
  <c r="E17" i="44"/>
  <c r="F16" i="44"/>
  <c r="F72" i="44" s="1"/>
  <c r="E14" i="44"/>
  <c r="F14" i="44" s="1"/>
  <c r="F13" i="44"/>
  <c r="F12" i="44"/>
  <c r="E11" i="44"/>
  <c r="G27" i="37"/>
  <c r="G31" i="37" s="1"/>
  <c r="F27" i="37"/>
  <c r="F34" i="37" s="1"/>
  <c r="E27" i="37"/>
  <c r="E35" i="37" s="1"/>
  <c r="D27" i="37"/>
  <c r="D35" i="37" s="1"/>
  <c r="G26" i="37"/>
  <c r="F26" i="37"/>
  <c r="E26" i="37"/>
  <c r="D26" i="37"/>
  <c r="E17" i="37"/>
  <c r="G14" i="37"/>
  <c r="G18" i="37" s="1"/>
  <c r="F14" i="37"/>
  <c r="F22" i="37" s="1"/>
  <c r="E14" i="37"/>
  <c r="E18" i="37" s="1"/>
  <c r="D14" i="37"/>
  <c r="D22" i="37" s="1"/>
  <c r="G13" i="37"/>
  <c r="F13" i="37"/>
  <c r="E13" i="37"/>
  <c r="D13" i="37"/>
  <c r="C24" i="25"/>
  <c r="D35" i="17" l="1"/>
  <c r="V87" i="30"/>
  <c r="V95" i="30"/>
  <c r="I13" i="32"/>
  <c r="Q19" i="30"/>
  <c r="I14" i="32"/>
  <c r="D414" i="39"/>
  <c r="V75" i="30"/>
  <c r="V102" i="30"/>
  <c r="E318" i="33"/>
  <c r="V89" i="30"/>
  <c r="F74" i="44"/>
  <c r="V100" i="30"/>
  <c r="F12" i="32"/>
  <c r="E241" i="33"/>
  <c r="T40" i="30"/>
  <c r="N40" i="31" s="1"/>
  <c r="X40" i="30"/>
  <c r="D34" i="37"/>
  <c r="F38" i="44"/>
  <c r="V49" i="30"/>
  <c r="I119" i="31"/>
  <c r="H287" i="33"/>
  <c r="H288" i="33" s="1"/>
  <c r="H48" i="39"/>
  <c r="E13" i="23"/>
  <c r="E15" i="23" s="1"/>
  <c r="C9" i="23"/>
  <c r="V80" i="30"/>
  <c r="H99" i="33"/>
  <c r="H101" i="33" s="1"/>
  <c r="H111" i="39"/>
  <c r="E282" i="39"/>
  <c r="E376" i="33"/>
  <c r="E41" i="39"/>
  <c r="E352" i="39"/>
  <c r="V86" i="30"/>
  <c r="L119" i="31"/>
  <c r="E10" i="47"/>
  <c r="E13" i="47" s="1"/>
  <c r="V96" i="30"/>
  <c r="D227" i="33"/>
  <c r="J85" i="13"/>
  <c r="V84" i="30"/>
  <c r="V105" i="30"/>
  <c r="V115" i="30"/>
  <c r="X116" i="31"/>
  <c r="C19" i="46"/>
  <c r="C25" i="46" s="1"/>
  <c r="J127" i="13"/>
  <c r="H414" i="39"/>
  <c r="F414" i="39"/>
  <c r="P414" i="39" s="1"/>
  <c r="Q414" i="39" s="1"/>
  <c r="Q16" i="30"/>
  <c r="V90" i="30"/>
  <c r="E111" i="33"/>
  <c r="E286" i="39"/>
  <c r="H131" i="13"/>
  <c r="M35" i="31"/>
  <c r="E67" i="33"/>
  <c r="E124" i="33"/>
  <c r="E388" i="33"/>
  <c r="K131" i="13"/>
  <c r="H137" i="13"/>
  <c r="L9" i="23"/>
  <c r="K119" i="30"/>
  <c r="V25" i="30"/>
  <c r="V40" i="30"/>
  <c r="V78" i="30"/>
  <c r="V83" i="30"/>
  <c r="H32" i="39"/>
  <c r="H33" i="39" s="1"/>
  <c r="K87" i="13"/>
  <c r="K98" i="13" s="1"/>
  <c r="H13" i="23"/>
  <c r="H15" i="23" s="1"/>
  <c r="V103" i="30"/>
  <c r="E41" i="33"/>
  <c r="E142" i="33"/>
  <c r="G282" i="33"/>
  <c r="F397" i="33"/>
  <c r="P397" i="33" s="1"/>
  <c r="Q397" i="33" s="1"/>
  <c r="E405" i="39"/>
  <c r="F17" i="37"/>
  <c r="E21" i="37"/>
  <c r="G47" i="44"/>
  <c r="G10" i="47"/>
  <c r="D28" i="37"/>
  <c r="G131" i="13"/>
  <c r="J137" i="13"/>
  <c r="E97" i="33"/>
  <c r="H282" i="33"/>
  <c r="F324" i="33"/>
  <c r="P324" i="33" s="1"/>
  <c r="Q324" i="33" s="1"/>
  <c r="D371" i="33"/>
  <c r="D293" i="39"/>
  <c r="E28" i="37"/>
  <c r="E18" i="47"/>
  <c r="E22" i="47" s="1"/>
  <c r="E28" i="47" s="1"/>
  <c r="D13" i="23"/>
  <c r="D15" i="23" s="1"/>
  <c r="M53" i="30"/>
  <c r="V79" i="30"/>
  <c r="V94" i="30"/>
  <c r="V99" i="30"/>
  <c r="E17" i="33"/>
  <c r="H39" i="33"/>
  <c r="H41" i="33" s="1"/>
  <c r="E49" i="33"/>
  <c r="F227" i="33"/>
  <c r="E142" i="39"/>
  <c r="E30" i="37"/>
  <c r="D6" i="35"/>
  <c r="D13" i="35" s="1"/>
  <c r="F13" i="23"/>
  <c r="F15" i="23" s="1"/>
  <c r="D9" i="23"/>
  <c r="U43" i="30"/>
  <c r="Q41" i="30"/>
  <c r="T41" i="30" s="1"/>
  <c r="V82" i="30"/>
  <c r="K119" i="31"/>
  <c r="F15" i="37"/>
  <c r="G87" i="13"/>
  <c r="G13" i="23"/>
  <c r="G15" i="23" s="1"/>
  <c r="E9" i="23"/>
  <c r="I119" i="30"/>
  <c r="Q53" i="31"/>
  <c r="X53" i="31" s="1"/>
  <c r="AH11" i="31" s="1"/>
  <c r="G227" i="33"/>
  <c r="E382" i="33"/>
  <c r="H231" i="39"/>
  <c r="H279" i="39"/>
  <c r="G397" i="39"/>
  <c r="M11" i="23"/>
  <c r="M13" i="23" s="1"/>
  <c r="M15" i="23" s="1"/>
  <c r="M9" i="23"/>
  <c r="U20" i="30"/>
  <c r="T63" i="30"/>
  <c r="N63" i="31" s="1"/>
  <c r="X63" i="30"/>
  <c r="H87" i="13"/>
  <c r="X29" i="30"/>
  <c r="T29" i="30"/>
  <c r="N113" i="31"/>
  <c r="V113" i="30"/>
  <c r="D19" i="37"/>
  <c r="D30" i="37"/>
  <c r="V24" i="30"/>
  <c r="T56" i="30"/>
  <c r="V56" i="30" s="1"/>
  <c r="X56" i="30"/>
  <c r="AC14" i="30" s="1"/>
  <c r="V63" i="30"/>
  <c r="N108" i="31"/>
  <c r="V108" i="30"/>
  <c r="B39" i="18"/>
  <c r="E22" i="44"/>
  <c r="D15" i="37"/>
  <c r="F19" i="37"/>
  <c r="D32" i="37"/>
  <c r="E31" i="44"/>
  <c r="T39" i="30"/>
  <c r="N39" i="31" s="1"/>
  <c r="H47" i="44"/>
  <c r="E19" i="37"/>
  <c r="E15" i="37"/>
  <c r="D21" i="37"/>
  <c r="E32" i="37"/>
  <c r="J13" i="23"/>
  <c r="J15" i="23" s="1"/>
  <c r="J9" i="23"/>
  <c r="T33" i="30"/>
  <c r="V33" i="30" s="1"/>
  <c r="V35" i="30" s="1"/>
  <c r="Q35" i="30"/>
  <c r="X33" i="30"/>
  <c r="X35" i="30" s="1"/>
  <c r="AH9" i="30" s="1"/>
  <c r="V47" i="30"/>
  <c r="J58" i="13"/>
  <c r="B11" i="23"/>
  <c r="B13" i="23" s="1"/>
  <c r="B15" i="23" s="1"/>
  <c r="B9" i="23"/>
  <c r="K11" i="23"/>
  <c r="K13" i="23" s="1"/>
  <c r="K15" i="23" s="1"/>
  <c r="K9" i="23"/>
  <c r="T59" i="30"/>
  <c r="N59" i="31" s="1"/>
  <c r="X59" i="30"/>
  <c r="AC16" i="30" s="1"/>
  <c r="X74" i="30"/>
  <c r="AC10" i="30" s="1"/>
  <c r="T74" i="30"/>
  <c r="G231" i="39"/>
  <c r="D17" i="37"/>
  <c r="F21" i="37"/>
  <c r="E34" i="37"/>
  <c r="K137" i="13"/>
  <c r="D28" i="18"/>
  <c r="N72" i="31"/>
  <c r="U72" i="31" s="1"/>
  <c r="V72" i="30"/>
  <c r="N92" i="31"/>
  <c r="V92" i="30"/>
  <c r="D43" i="33"/>
  <c r="D324" i="33"/>
  <c r="P392" i="33"/>
  <c r="Q392" i="33" s="1"/>
  <c r="D334" i="39"/>
  <c r="E343" i="39"/>
  <c r="C13" i="23"/>
  <c r="C15" i="23" s="1"/>
  <c r="L13" i="23"/>
  <c r="L15" i="23" s="1"/>
  <c r="Q12" i="30"/>
  <c r="J119" i="30"/>
  <c r="U30" i="30"/>
  <c r="V26" i="30"/>
  <c r="U35" i="30"/>
  <c r="V48" i="30"/>
  <c r="U110" i="30"/>
  <c r="V81" i="30"/>
  <c r="V97" i="30"/>
  <c r="U116" i="30"/>
  <c r="Q13" i="31"/>
  <c r="X13" i="31" s="1"/>
  <c r="G12" i="32"/>
  <c r="I12" i="32" s="1"/>
  <c r="I15" i="32"/>
  <c r="D285" i="33"/>
  <c r="E274" i="33"/>
  <c r="E333" i="33"/>
  <c r="D14" i="35"/>
  <c r="G111" i="39"/>
  <c r="E229" i="39"/>
  <c r="H397" i="39"/>
  <c r="AC15" i="30"/>
  <c r="M116" i="31"/>
  <c r="H126" i="33"/>
  <c r="H142" i="33" s="1"/>
  <c r="F285" i="33"/>
  <c r="P285" i="33" s="1"/>
  <c r="Q285" i="33" s="1"/>
  <c r="D43" i="39"/>
  <c r="E194" i="39"/>
  <c r="E223" i="39"/>
  <c r="E231" i="39" s="1"/>
  <c r="G290" i="39"/>
  <c r="I87" i="13"/>
  <c r="I98" i="13" s="1"/>
  <c r="G137" i="13"/>
  <c r="G139" i="13" s="1"/>
  <c r="G141" i="13" s="1"/>
  <c r="B28" i="18"/>
  <c r="Q13" i="30"/>
  <c r="L119" i="30"/>
  <c r="V58" i="30"/>
  <c r="T62" i="30"/>
  <c r="N62" i="31" s="1"/>
  <c r="Q64" i="30"/>
  <c r="V71" i="30"/>
  <c r="V93" i="30"/>
  <c r="V109" i="30"/>
  <c r="X116" i="30"/>
  <c r="E184" i="33"/>
  <c r="D205" i="33"/>
  <c r="E397" i="33"/>
  <c r="D9" i="35"/>
  <c r="D10" i="35" s="1"/>
  <c r="D383" i="39"/>
  <c r="D397" i="39"/>
  <c r="P409" i="39"/>
  <c r="Q409" i="39" s="1"/>
  <c r="C28" i="18"/>
  <c r="D39" i="18"/>
  <c r="Q42" i="30"/>
  <c r="U65" i="30"/>
  <c r="V73" i="30"/>
  <c r="V88" i="30"/>
  <c r="V91" i="30"/>
  <c r="V104" i="30"/>
  <c r="V107" i="30"/>
  <c r="M116" i="30"/>
  <c r="Q19" i="31"/>
  <c r="X19" i="31" s="1"/>
  <c r="AC12" i="31" s="1"/>
  <c r="P119" i="31"/>
  <c r="F10" i="32"/>
  <c r="E33" i="33"/>
  <c r="H70" i="33"/>
  <c r="H191" i="33"/>
  <c r="E247" i="33"/>
  <c r="H315" i="33"/>
  <c r="D382" i="33"/>
  <c r="D397" i="33"/>
  <c r="E371" i="39"/>
  <c r="E414" i="39"/>
  <c r="R119" i="31"/>
  <c r="M53" i="31"/>
  <c r="M110" i="31"/>
  <c r="H10" i="32"/>
  <c r="H17" i="32" s="1"/>
  <c r="R119" i="30"/>
  <c r="X60" i="30"/>
  <c r="AC22" i="30" s="1"/>
  <c r="X69" i="30"/>
  <c r="AC11" i="30" s="1"/>
  <c r="H119" i="31"/>
  <c r="S119" i="31"/>
  <c r="G324" i="33"/>
  <c r="P312" i="33"/>
  <c r="Q312" i="33" s="1"/>
  <c r="G382" i="33"/>
  <c r="F382" i="33"/>
  <c r="P382" i="33" s="1"/>
  <c r="Q382" i="33" s="1"/>
  <c r="G397" i="33"/>
  <c r="E17" i="39"/>
  <c r="E111" i="39"/>
  <c r="H119" i="30"/>
  <c r="S119" i="30"/>
  <c r="M65" i="30"/>
  <c r="M110" i="30"/>
  <c r="V70" i="30"/>
  <c r="V85" i="30"/>
  <c r="V98" i="30"/>
  <c r="V101" i="30"/>
  <c r="E30" i="33"/>
  <c r="H45" i="33"/>
  <c r="H49" i="33" s="1"/>
  <c r="E61" i="33"/>
  <c r="E170" i="33"/>
  <c r="G205" i="33"/>
  <c r="E359" i="33"/>
  <c r="F371" i="33"/>
  <c r="P371" i="33" s="1"/>
  <c r="Q371" i="33" s="1"/>
  <c r="E2" i="8"/>
  <c r="B24" i="25"/>
  <c r="B37" i="25"/>
  <c r="E47" i="44"/>
  <c r="F31" i="44"/>
  <c r="F70" i="44"/>
  <c r="G20" i="37"/>
  <c r="G19" i="37"/>
  <c r="G28" i="37"/>
  <c r="G34" i="37"/>
  <c r="B13" i="47"/>
  <c r="G22" i="37"/>
  <c r="G17" i="37"/>
  <c r="D16" i="37"/>
  <c r="D18" i="37"/>
  <c r="D20" i="37"/>
  <c r="D29" i="37"/>
  <c r="D31" i="37"/>
  <c r="D33" i="37"/>
  <c r="F78" i="44"/>
  <c r="G15" i="37"/>
  <c r="G21" i="37"/>
  <c r="G30" i="37"/>
  <c r="E16" i="37"/>
  <c r="E20" i="37"/>
  <c r="E22" i="37"/>
  <c r="E31" i="37"/>
  <c r="G16" i="37"/>
  <c r="G29" i="37"/>
  <c r="G35" i="37"/>
  <c r="G32" i="37"/>
  <c r="E29" i="37"/>
  <c r="E33" i="37"/>
  <c r="F16" i="37"/>
  <c r="F18" i="37"/>
  <c r="F20" i="37"/>
  <c r="F29" i="37"/>
  <c r="F31" i="37"/>
  <c r="F33" i="37"/>
  <c r="F35" i="37"/>
  <c r="G33" i="37"/>
  <c r="F11" i="44"/>
  <c r="F28" i="37"/>
  <c r="F30" i="37"/>
  <c r="F32" i="37"/>
  <c r="G98" i="13"/>
  <c r="G124" i="13"/>
  <c r="H98" i="13"/>
  <c r="H112" i="13"/>
  <c r="H139" i="13"/>
  <c r="H141" i="13" s="1"/>
  <c r="H132" i="13"/>
  <c r="K132" i="13"/>
  <c r="K139" i="13"/>
  <c r="J87" i="13"/>
  <c r="L58" i="13"/>
  <c r="U15" i="31"/>
  <c r="T15" i="31"/>
  <c r="V15" i="31" s="1"/>
  <c r="U26" i="31"/>
  <c r="T26" i="31"/>
  <c r="V26" i="31" s="1"/>
  <c r="U60" i="31"/>
  <c r="T60" i="31"/>
  <c r="V60" i="31" s="1"/>
  <c r="N74" i="31"/>
  <c r="V74" i="30"/>
  <c r="M20" i="31"/>
  <c r="Q12" i="31"/>
  <c r="J126" i="13"/>
  <c r="J131" i="13" s="1"/>
  <c r="Q17" i="30"/>
  <c r="Q20" i="30" s="1"/>
  <c r="T19" i="30"/>
  <c r="X19" i="30"/>
  <c r="AC12" i="30" s="1"/>
  <c r="O119" i="30"/>
  <c r="V23" i="30"/>
  <c r="M30" i="30"/>
  <c r="N41" i="31"/>
  <c r="V41" i="30"/>
  <c r="X52" i="30"/>
  <c r="T52" i="30"/>
  <c r="N52" i="31" s="1"/>
  <c r="U69" i="31"/>
  <c r="T69" i="31"/>
  <c r="V69" i="31" s="1"/>
  <c r="Q30" i="31"/>
  <c r="X27" i="31"/>
  <c r="P119" i="30"/>
  <c r="N29" i="31"/>
  <c r="V29" i="30"/>
  <c r="U46" i="31"/>
  <c r="T46" i="31"/>
  <c r="U63" i="31"/>
  <c r="U71" i="31"/>
  <c r="T71" i="31"/>
  <c r="X77" i="30"/>
  <c r="T77" i="30"/>
  <c r="N77" i="31" s="1"/>
  <c r="Q27" i="30"/>
  <c r="X41" i="30"/>
  <c r="U53" i="30"/>
  <c r="T50" i="30"/>
  <c r="T59" i="31"/>
  <c r="V59" i="31" s="1"/>
  <c r="U59" i="31"/>
  <c r="Q61" i="30"/>
  <c r="V69" i="30"/>
  <c r="G132" i="13"/>
  <c r="X12" i="30"/>
  <c r="T12" i="30"/>
  <c r="U40" i="31"/>
  <c r="X42" i="30"/>
  <c r="T42" i="30"/>
  <c r="N42" i="31" s="1"/>
  <c r="C39" i="18"/>
  <c r="X16" i="30"/>
  <c r="AC27" i="30" s="1"/>
  <c r="T16" i="30"/>
  <c r="N16" i="31" s="1"/>
  <c r="M43" i="30"/>
  <c r="Q38" i="30"/>
  <c r="X50" i="30"/>
  <c r="V59" i="30"/>
  <c r="T68" i="31"/>
  <c r="U68" i="31"/>
  <c r="I11" i="23"/>
  <c r="I13" i="23" s="1"/>
  <c r="I15" i="23" s="1"/>
  <c r="X28" i="30"/>
  <c r="T28" i="30"/>
  <c r="N28" i="31" s="1"/>
  <c r="N56" i="31"/>
  <c r="X13" i="30"/>
  <c r="AC8" i="30" s="1"/>
  <c r="T13" i="30"/>
  <c r="V15" i="30"/>
  <c r="N33" i="31"/>
  <c r="T35" i="30"/>
  <c r="U58" i="31"/>
  <c r="T58" i="31"/>
  <c r="V60" i="30"/>
  <c r="Q41" i="31"/>
  <c r="X41" i="31" s="1"/>
  <c r="F9" i="23"/>
  <c r="M20" i="30"/>
  <c r="U23" i="31"/>
  <c r="T23" i="31"/>
  <c r="G9" i="23"/>
  <c r="V46" i="30"/>
  <c r="U48" i="31"/>
  <c r="T48" i="31"/>
  <c r="V48" i="31" s="1"/>
  <c r="Q51" i="30"/>
  <c r="V68" i="30"/>
  <c r="U73" i="31"/>
  <c r="T73" i="31"/>
  <c r="V73" i="31" s="1"/>
  <c r="Q76" i="30"/>
  <c r="Q110" i="30" s="1"/>
  <c r="U79" i="31"/>
  <c r="T79" i="31"/>
  <c r="V79" i="31" s="1"/>
  <c r="U81" i="31"/>
  <c r="T81" i="31"/>
  <c r="V81" i="31" s="1"/>
  <c r="U83" i="31"/>
  <c r="T83" i="31"/>
  <c r="V83" i="31" s="1"/>
  <c r="U85" i="31"/>
  <c r="T85" i="31"/>
  <c r="V85" i="31" s="1"/>
  <c r="U87" i="31"/>
  <c r="T87" i="31"/>
  <c r="V87" i="31" s="1"/>
  <c r="U89" i="31"/>
  <c r="T89" i="31"/>
  <c r="V89" i="31" s="1"/>
  <c r="U91" i="31"/>
  <c r="T91" i="31"/>
  <c r="V91" i="31" s="1"/>
  <c r="U93" i="31"/>
  <c r="T93" i="31"/>
  <c r="V93" i="31" s="1"/>
  <c r="U95" i="31"/>
  <c r="T95" i="31"/>
  <c r="V95" i="31" s="1"/>
  <c r="U97" i="31"/>
  <c r="T97" i="31"/>
  <c r="V97" i="31" s="1"/>
  <c r="U99" i="31"/>
  <c r="T99" i="31"/>
  <c r="V99" i="31" s="1"/>
  <c r="U101" i="31"/>
  <c r="T101" i="31"/>
  <c r="V101" i="31" s="1"/>
  <c r="U103" i="31"/>
  <c r="T103" i="31"/>
  <c r="V103" i="31" s="1"/>
  <c r="U105" i="31"/>
  <c r="T105" i="31"/>
  <c r="V105" i="31" s="1"/>
  <c r="U107" i="31"/>
  <c r="T107" i="31"/>
  <c r="V107" i="31" s="1"/>
  <c r="U109" i="31"/>
  <c r="T109" i="31"/>
  <c r="V109" i="31" s="1"/>
  <c r="U114" i="31"/>
  <c r="T114" i="31"/>
  <c r="V114" i="31" s="1"/>
  <c r="Q42" i="31"/>
  <c r="X42" i="31" s="1"/>
  <c r="U57" i="31"/>
  <c r="T57" i="31"/>
  <c r="V57" i="31" s="1"/>
  <c r="U70" i="31"/>
  <c r="T70" i="31"/>
  <c r="V70" i="31" s="1"/>
  <c r="Q16" i="31"/>
  <c r="X16" i="31" s="1"/>
  <c r="AC27" i="31" s="1"/>
  <c r="V71" i="31"/>
  <c r="G43" i="33"/>
  <c r="V114" i="30"/>
  <c r="V116" i="30" s="1"/>
  <c r="Q17" i="31"/>
  <c r="X17" i="31" s="1"/>
  <c r="M30" i="31"/>
  <c r="AC26" i="31"/>
  <c r="U25" i="31"/>
  <c r="T25" i="31"/>
  <c r="V25" i="31" s="1"/>
  <c r="U47" i="31"/>
  <c r="T47" i="31"/>
  <c r="V47" i="31" s="1"/>
  <c r="V57" i="30"/>
  <c r="U75" i="31"/>
  <c r="T75" i="31"/>
  <c r="V75" i="31" s="1"/>
  <c r="U113" i="31"/>
  <c r="T113" i="31"/>
  <c r="T116" i="30"/>
  <c r="V58" i="31"/>
  <c r="T78" i="31"/>
  <c r="V78" i="31" s="1"/>
  <c r="U78" i="31"/>
  <c r="U80" i="31"/>
  <c r="T80" i="31"/>
  <c r="V80" i="31" s="1"/>
  <c r="U82" i="31"/>
  <c r="T82" i="31"/>
  <c r="V82" i="31" s="1"/>
  <c r="U84" i="31"/>
  <c r="T84" i="31"/>
  <c r="V84" i="31" s="1"/>
  <c r="T86" i="31"/>
  <c r="V86" i="31" s="1"/>
  <c r="U86" i="31"/>
  <c r="U88" i="31"/>
  <c r="T88" i="31"/>
  <c r="V88" i="31" s="1"/>
  <c r="U90" i="31"/>
  <c r="T90" i="31"/>
  <c r="V90" i="31" s="1"/>
  <c r="U92" i="31"/>
  <c r="T92" i="31"/>
  <c r="V92" i="31" s="1"/>
  <c r="T94" i="31"/>
  <c r="V94" i="31" s="1"/>
  <c r="U94" i="31"/>
  <c r="U96" i="31"/>
  <c r="T96" i="31"/>
  <c r="V96" i="31" s="1"/>
  <c r="U98" i="31"/>
  <c r="T98" i="31"/>
  <c r="V98" i="31" s="1"/>
  <c r="U100" i="31"/>
  <c r="T100" i="31"/>
  <c r="V100" i="31" s="1"/>
  <c r="T102" i="31"/>
  <c r="V102" i="31" s="1"/>
  <c r="U102" i="31"/>
  <c r="U104" i="31"/>
  <c r="T104" i="31"/>
  <c r="V104" i="31" s="1"/>
  <c r="U106" i="31"/>
  <c r="T106" i="31"/>
  <c r="V106" i="31" s="1"/>
  <c r="U108" i="31"/>
  <c r="T108" i="31"/>
  <c r="V108" i="31" s="1"/>
  <c r="X30" i="31"/>
  <c r="AH8" i="31" s="1"/>
  <c r="Q35" i="31"/>
  <c r="X33" i="31"/>
  <c r="Q40" i="31"/>
  <c r="X40" i="31" s="1"/>
  <c r="U24" i="31"/>
  <c r="T24" i="31"/>
  <c r="V24" i="31" s="1"/>
  <c r="U49" i="31"/>
  <c r="T49" i="31"/>
  <c r="V49" i="31" s="1"/>
  <c r="U115" i="31"/>
  <c r="T115" i="31"/>
  <c r="V115" i="31" s="1"/>
  <c r="E11" i="8"/>
  <c r="E340" i="39"/>
  <c r="H339" i="39"/>
  <c r="F43" i="33"/>
  <c r="P227" i="33"/>
  <c r="Q227" i="33" s="1"/>
  <c r="E278" i="33"/>
  <c r="E285" i="33" s="1"/>
  <c r="H277" i="33"/>
  <c r="H278" i="33" s="1"/>
  <c r="V46" i="31"/>
  <c r="X51" i="31"/>
  <c r="Q63" i="31"/>
  <c r="X63" i="31" s="1"/>
  <c r="H51" i="33"/>
  <c r="H61" i="33" s="1"/>
  <c r="F205" i="33"/>
  <c r="P205" i="33" s="1"/>
  <c r="Q205" i="33" s="1"/>
  <c r="P203" i="33"/>
  <c r="Q203" i="33" s="1"/>
  <c r="G229" i="33"/>
  <c r="G285" i="33"/>
  <c r="D206" i="39"/>
  <c r="Q39" i="31"/>
  <c r="X39" i="31" s="1"/>
  <c r="AC8" i="31" s="1"/>
  <c r="Q56" i="31"/>
  <c r="Q62" i="31"/>
  <c r="X62" i="31" s="1"/>
  <c r="M65" i="31"/>
  <c r="F11" i="32"/>
  <c r="H20" i="33"/>
  <c r="G117" i="33"/>
  <c r="G148" i="33" s="1"/>
  <c r="M43" i="31"/>
  <c r="Q61" i="31"/>
  <c r="X61" i="31" s="1"/>
  <c r="AC13" i="31" s="1"/>
  <c r="Q74" i="31"/>
  <c r="X74" i="31" s="1"/>
  <c r="X110" i="31" s="1"/>
  <c r="AH13" i="31" s="1"/>
  <c r="G11" i="32"/>
  <c r="G17" i="32" s="1"/>
  <c r="E154" i="33"/>
  <c r="H153" i="33"/>
  <c r="E216" i="33"/>
  <c r="H215" i="33"/>
  <c r="E222" i="33"/>
  <c r="H221" i="33"/>
  <c r="H222" i="33" s="1"/>
  <c r="H227" i="33" s="1"/>
  <c r="H229" i="33" s="1"/>
  <c r="E330" i="33"/>
  <c r="H326" i="33"/>
  <c r="H330" i="33" s="1"/>
  <c r="H371" i="33" s="1"/>
  <c r="G371" i="33"/>
  <c r="J22" i="32"/>
  <c r="H63" i="33"/>
  <c r="H67" i="33" s="1"/>
  <c r="D117" i="33"/>
  <c r="D148" i="33" s="1"/>
  <c r="H205" i="33"/>
  <c r="H397" i="33"/>
  <c r="E30" i="39"/>
  <c r="E97" i="39"/>
  <c r="G117" i="39"/>
  <c r="G148" i="39" s="1"/>
  <c r="G206" i="39"/>
  <c r="H15" i="33"/>
  <c r="H17" i="33" s="1"/>
  <c r="H43" i="33" s="1"/>
  <c r="F117" i="33"/>
  <c r="P117" i="33" s="1"/>
  <c r="Q117" i="33" s="1"/>
  <c r="H324" i="33"/>
  <c r="P111" i="33"/>
  <c r="Q111" i="33" s="1"/>
  <c r="P146" i="33"/>
  <c r="Q146" i="33" s="1"/>
  <c r="H231" i="33"/>
  <c r="H241" i="33" s="1"/>
  <c r="H373" i="33"/>
  <c r="H376" i="33" s="1"/>
  <c r="H382" i="33" s="1"/>
  <c r="H386" i="33"/>
  <c r="E185" i="39"/>
  <c r="E328" i="39"/>
  <c r="H325" i="39"/>
  <c r="E377" i="39"/>
  <c r="H376" i="39"/>
  <c r="H377" i="39" s="1"/>
  <c r="H383" i="39" s="1"/>
  <c r="F397" i="39"/>
  <c r="P397" i="39" s="1"/>
  <c r="Q397" i="39" s="1"/>
  <c r="P395" i="39"/>
  <c r="Q395" i="39" s="1"/>
  <c r="P216" i="33"/>
  <c r="Q216" i="33" s="1"/>
  <c r="E219" i="33"/>
  <c r="E225" i="33"/>
  <c r="P241" i="33"/>
  <c r="Q241" i="33" s="1"/>
  <c r="E365" i="33"/>
  <c r="E61" i="39"/>
  <c r="H51" i="39"/>
  <c r="H61" i="39" s="1"/>
  <c r="H117" i="39" s="1"/>
  <c r="H148" i="39" s="1"/>
  <c r="E298" i="39"/>
  <c r="H295" i="39"/>
  <c r="H298" i="39" s="1"/>
  <c r="H334" i="39" s="1"/>
  <c r="E322" i="39"/>
  <c r="F383" i="39"/>
  <c r="P383" i="39" s="1"/>
  <c r="Q383" i="39" s="1"/>
  <c r="H106" i="33"/>
  <c r="H111" i="33" s="1"/>
  <c r="E166" i="33"/>
  <c r="H15" i="39"/>
  <c r="H17" i="39" s="1"/>
  <c r="F334" i="39"/>
  <c r="P334" i="39" s="1"/>
  <c r="Q334" i="39" s="1"/>
  <c r="P322" i="39"/>
  <c r="Q322" i="39" s="1"/>
  <c r="G383" i="39"/>
  <c r="E312" i="33"/>
  <c r="E341" i="33"/>
  <c r="H23" i="39"/>
  <c r="H30" i="39" s="1"/>
  <c r="H43" i="39" s="1"/>
  <c r="E101" i="39"/>
  <c r="E171" i="39"/>
  <c r="H169" i="39"/>
  <c r="H171" i="39" s="1"/>
  <c r="H290" i="39"/>
  <c r="G334" i="39"/>
  <c r="E391" i="39"/>
  <c r="E397" i="39" s="1"/>
  <c r="F43" i="39"/>
  <c r="D117" i="39"/>
  <c r="D148" i="39" s="1"/>
  <c r="F206" i="39"/>
  <c r="P206" i="39" s="1"/>
  <c r="Q206" i="39" s="1"/>
  <c r="H356" i="39"/>
  <c r="G43" i="39"/>
  <c r="H153" i="39"/>
  <c r="E167" i="39"/>
  <c r="D231" i="39"/>
  <c r="F257" i="39"/>
  <c r="P257" i="39" s="1"/>
  <c r="Q257" i="39" s="1"/>
  <c r="H256" i="39"/>
  <c r="H257" i="39" s="1"/>
  <c r="G256" i="39"/>
  <c r="G257" i="39" s="1"/>
  <c r="E67" i="39"/>
  <c r="F117" i="39"/>
  <c r="P117" i="39" s="1"/>
  <c r="Q117" i="39" s="1"/>
  <c r="P142" i="39"/>
  <c r="Q142" i="39" s="1"/>
  <c r="F231" i="39"/>
  <c r="E246" i="39"/>
  <c r="G414" i="39"/>
  <c r="E254" i="39"/>
  <c r="H173" i="39"/>
  <c r="H185" i="39" s="1"/>
  <c r="D14" i="8"/>
  <c r="E15" i="8"/>
  <c r="D2" i="8"/>
  <c r="D10" i="8"/>
  <c r="F2" i="8"/>
  <c r="E10" i="8"/>
  <c r="F11" i="8"/>
  <c r="D13" i="8"/>
  <c r="E14" i="8"/>
  <c r="F15" i="8"/>
  <c r="D17" i="8"/>
  <c r="F22" i="8"/>
  <c r="D24" i="8"/>
  <c r="E25" i="8"/>
  <c r="F26" i="8"/>
  <c r="D28" i="8"/>
  <c r="E29" i="8"/>
  <c r="F10" i="8"/>
  <c r="D12" i="8"/>
  <c r="E13" i="8"/>
  <c r="F14" i="8"/>
  <c r="D16" i="8"/>
  <c r="E17" i="8"/>
  <c r="D23" i="8"/>
  <c r="E24" i="8"/>
  <c r="F25" i="8"/>
  <c r="D27" i="8"/>
  <c r="E28" i="8"/>
  <c r="F29" i="8"/>
  <c r="D11" i="8"/>
  <c r="E12" i="8"/>
  <c r="F13" i="8"/>
  <c r="F17" i="8"/>
  <c r="D22" i="8"/>
  <c r="E23" i="8"/>
  <c r="F24" i="8"/>
  <c r="D26" i="8"/>
  <c r="E27" i="8"/>
  <c r="F28" i="8"/>
  <c r="F12" i="8"/>
  <c r="E22" i="8"/>
  <c r="F23" i="8"/>
  <c r="D25" i="8"/>
  <c r="C13" i="25" l="1"/>
  <c r="D36" i="25"/>
  <c r="E117" i="33"/>
  <c r="E148" i="33" s="1"/>
  <c r="D229" i="33"/>
  <c r="H117" i="33"/>
  <c r="H148" i="33" s="1"/>
  <c r="D233" i="39"/>
  <c r="E324" i="33"/>
  <c r="V39" i="30"/>
  <c r="E43" i="33"/>
  <c r="V62" i="30"/>
  <c r="K141" i="13"/>
  <c r="E43" i="39"/>
  <c r="E293" i="39"/>
  <c r="AC15" i="31"/>
  <c r="AC10" i="31"/>
  <c r="H206" i="39"/>
  <c r="H233" i="39" s="1"/>
  <c r="E205" i="33"/>
  <c r="E383" i="39"/>
  <c r="Q110" i="31"/>
  <c r="I10" i="32"/>
  <c r="E206" i="39"/>
  <c r="E233" i="39" s="1"/>
  <c r="U116" i="31"/>
  <c r="AC28" i="31"/>
  <c r="V77" i="30"/>
  <c r="F293" i="39"/>
  <c r="P293" i="39" s="1"/>
  <c r="Q293" i="39" s="1"/>
  <c r="M119" i="30"/>
  <c r="V42" i="30"/>
  <c r="T64" i="30"/>
  <c r="X64" i="30"/>
  <c r="G293" i="39"/>
  <c r="G233" i="39"/>
  <c r="F17" i="32"/>
  <c r="J23" i="32"/>
  <c r="U119" i="30"/>
  <c r="H293" i="39"/>
  <c r="T72" i="31"/>
  <c r="V72" i="31" s="1"/>
  <c r="E117" i="39"/>
  <c r="E148" i="39" s="1"/>
  <c r="AH16" i="31"/>
  <c r="D418" i="39"/>
  <c r="D420" i="39" s="1"/>
  <c r="D4" i="39"/>
  <c r="D6" i="39" s="1"/>
  <c r="D401" i="33"/>
  <c r="D403" i="33" s="1"/>
  <c r="D4" i="33"/>
  <c r="D6" i="33" s="1"/>
  <c r="E227" i="33"/>
  <c r="E229" i="33" s="1"/>
  <c r="U62" i="31"/>
  <c r="T62" i="31"/>
  <c r="V62" i="31" s="1"/>
  <c r="AH16" i="30"/>
  <c r="X38" i="30"/>
  <c r="T38" i="30"/>
  <c r="Q43" i="30"/>
  <c r="X12" i="31"/>
  <c r="Q20" i="31"/>
  <c r="V52" i="30"/>
  <c r="X56" i="31"/>
  <c r="Q65" i="31"/>
  <c r="AC24" i="30"/>
  <c r="AC23" i="31"/>
  <c r="U52" i="31"/>
  <c r="T52" i="31"/>
  <c r="V52" i="31" s="1"/>
  <c r="J98" i="13"/>
  <c r="F148" i="39"/>
  <c r="P148" i="39" s="1"/>
  <c r="Q148" i="39" s="1"/>
  <c r="P231" i="39"/>
  <c r="Q231" i="39" s="1"/>
  <c r="F233" i="39"/>
  <c r="P233" i="39" s="1"/>
  <c r="Q233" i="39" s="1"/>
  <c r="F418" i="39"/>
  <c r="P43" i="39"/>
  <c r="Q43" i="39" s="1"/>
  <c r="F4" i="39"/>
  <c r="F229" i="33"/>
  <c r="P229" i="33" s="1"/>
  <c r="Q229" i="33" s="1"/>
  <c r="U56" i="31"/>
  <c r="T56" i="31"/>
  <c r="U42" i="31"/>
  <c r="T42" i="31"/>
  <c r="V42" i="31" s="1"/>
  <c r="N50" i="31"/>
  <c r="V50" i="30"/>
  <c r="U77" i="31"/>
  <c r="T77" i="31"/>
  <c r="V77" i="31" s="1"/>
  <c r="M119" i="31"/>
  <c r="F22" i="44"/>
  <c r="F71" i="44"/>
  <c r="F76" i="44" s="1"/>
  <c r="F80" i="44" s="1"/>
  <c r="F81" i="44" s="1"/>
  <c r="F148" i="33"/>
  <c r="P148" i="33" s="1"/>
  <c r="Q148" i="33" s="1"/>
  <c r="T116" i="31"/>
  <c r="V113" i="31"/>
  <c r="V116" i="31" s="1"/>
  <c r="X51" i="30"/>
  <c r="T51" i="30"/>
  <c r="V28" i="30"/>
  <c r="Q53" i="30"/>
  <c r="X53" i="30" s="1"/>
  <c r="AH11" i="30" s="1"/>
  <c r="U29" i="31"/>
  <c r="T29" i="31"/>
  <c r="V29" i="31" s="1"/>
  <c r="J132" i="13"/>
  <c r="J139" i="13"/>
  <c r="J141" i="13" s="1"/>
  <c r="U28" i="31"/>
  <c r="T28" i="31"/>
  <c r="V28" i="31" s="1"/>
  <c r="V68" i="31"/>
  <c r="U16" i="31"/>
  <c r="T16" i="31"/>
  <c r="V16" i="31" s="1"/>
  <c r="T40" i="31"/>
  <c r="V40" i="31" s="1"/>
  <c r="U41" i="31"/>
  <c r="T41" i="31"/>
  <c r="V41" i="31" s="1"/>
  <c r="V19" i="30"/>
  <c r="N19" i="31"/>
  <c r="U74" i="31"/>
  <c r="T74" i="31"/>
  <c r="V74" i="31" s="1"/>
  <c r="X43" i="31"/>
  <c r="AH10" i="31" s="1"/>
  <c r="V23" i="31"/>
  <c r="U33" i="31"/>
  <c r="U35" i="31" s="1"/>
  <c r="T33" i="31"/>
  <c r="X17" i="30"/>
  <c r="T17" i="30"/>
  <c r="T20" i="30" s="1"/>
  <c r="G13" i="47"/>
  <c r="B18" i="47"/>
  <c r="E334" i="39"/>
  <c r="E371" i="33"/>
  <c r="E4" i="33" s="1"/>
  <c r="E6" i="33" s="1"/>
  <c r="H285" i="33"/>
  <c r="I11" i="32"/>
  <c r="I17" i="32" s="1"/>
  <c r="AC25" i="31"/>
  <c r="X35" i="31"/>
  <c r="AH9" i="31" s="1"/>
  <c r="V16" i="30"/>
  <c r="X61" i="30"/>
  <c r="T61" i="30"/>
  <c r="Q65" i="30"/>
  <c r="Q30" i="30"/>
  <c r="X27" i="30"/>
  <c r="T27" i="30"/>
  <c r="T63" i="31"/>
  <c r="V63" i="31" s="1"/>
  <c r="U39" i="31"/>
  <c r="T39" i="31"/>
  <c r="V39" i="31" s="1"/>
  <c r="F4" i="33"/>
  <c r="P43" i="33"/>
  <c r="Q43" i="33" s="1"/>
  <c r="F401" i="33"/>
  <c r="Q43" i="31"/>
  <c r="X76" i="30"/>
  <c r="T76" i="30"/>
  <c r="V13" i="30"/>
  <c r="N13" i="31"/>
  <c r="V12" i="30"/>
  <c r="N12" i="31"/>
  <c r="E401" i="33" l="1"/>
  <c r="E403" i="33" s="1"/>
  <c r="C15" i="25"/>
  <c r="N64" i="31"/>
  <c r="V64" i="30"/>
  <c r="Q119" i="30"/>
  <c r="AC28" i="30"/>
  <c r="E4" i="39"/>
  <c r="E6" i="39" s="1"/>
  <c r="N17" i="31"/>
  <c r="V17" i="30"/>
  <c r="V20" i="30" s="1"/>
  <c r="F420" i="39"/>
  <c r="P420" i="39" s="1"/>
  <c r="Q420" i="39" s="1"/>
  <c r="P418" i="39"/>
  <c r="Q418" i="39" s="1"/>
  <c r="G418" i="39"/>
  <c r="G420" i="39" s="1"/>
  <c r="U13" i="31"/>
  <c r="T13" i="31"/>
  <c r="V13" i="31" s="1"/>
  <c r="N51" i="31"/>
  <c r="V51" i="30"/>
  <c r="V53" i="30" s="1"/>
  <c r="T53" i="30"/>
  <c r="AC24" i="31"/>
  <c r="AH15" i="31" s="1"/>
  <c r="X20" i="31"/>
  <c r="F403" i="33"/>
  <c r="P403" i="33" s="1"/>
  <c r="Q403" i="33" s="1"/>
  <c r="P401" i="33"/>
  <c r="Q401" i="33" s="1"/>
  <c r="G401" i="33"/>
  <c r="G403" i="33" s="1"/>
  <c r="G4" i="39"/>
  <c r="G6" i="39" s="1"/>
  <c r="F6" i="39"/>
  <c r="X30" i="30"/>
  <c r="AH8" i="30" s="1"/>
  <c r="AC23" i="30"/>
  <c r="B22" i="47"/>
  <c r="G18" i="47"/>
  <c r="U50" i="31"/>
  <c r="T50" i="31"/>
  <c r="F47" i="44"/>
  <c r="J22" i="44"/>
  <c r="X65" i="31"/>
  <c r="AH12" i="31" s="1"/>
  <c r="AC14" i="31"/>
  <c r="E418" i="39"/>
  <c r="E420" i="39" s="1"/>
  <c r="N38" i="31"/>
  <c r="T43" i="30"/>
  <c r="V38" i="30"/>
  <c r="V43" i="30" s="1"/>
  <c r="N27" i="31"/>
  <c r="T30" i="30"/>
  <c r="V27" i="30"/>
  <c r="V30" i="30" s="1"/>
  <c r="G4" i="33"/>
  <c r="G6" i="33" s="1"/>
  <c r="F6" i="33"/>
  <c r="H4" i="33"/>
  <c r="H6" i="33" s="1"/>
  <c r="N61" i="31"/>
  <c r="V61" i="30"/>
  <c r="V65" i="30" s="1"/>
  <c r="T65" i="30"/>
  <c r="AC13" i="30"/>
  <c r="X65" i="30"/>
  <c r="AH12" i="30" s="1"/>
  <c r="U12" i="31"/>
  <c r="T12" i="31"/>
  <c r="V56" i="31"/>
  <c r="N76" i="31"/>
  <c r="V76" i="30"/>
  <c r="V110" i="30" s="1"/>
  <c r="T110" i="30"/>
  <c r="AC26" i="30"/>
  <c r="X43" i="30"/>
  <c r="AH10" i="30" s="1"/>
  <c r="AC25" i="30"/>
  <c r="AH15" i="30" s="1"/>
  <c r="X110" i="30"/>
  <c r="AH13" i="30" s="1"/>
  <c r="T35" i="31"/>
  <c r="V33" i="31"/>
  <c r="V35" i="31" s="1"/>
  <c r="U19" i="31"/>
  <c r="T19" i="31"/>
  <c r="V19" i="31" s="1"/>
  <c r="X20" i="30"/>
  <c r="Q119" i="31"/>
  <c r="T119" i="30" l="1"/>
  <c r="H401" i="33"/>
  <c r="H403" i="33" s="1"/>
  <c r="H4" i="39"/>
  <c r="H6" i="39" s="1"/>
  <c r="U64" i="31"/>
  <c r="T64" i="31"/>
  <c r="V64" i="31" s="1"/>
  <c r="AC29" i="31"/>
  <c r="AH18" i="31"/>
  <c r="AH20" i="31" s="1"/>
  <c r="AH21" i="31" s="1"/>
  <c r="T51" i="31"/>
  <c r="V51" i="31" s="1"/>
  <c r="U51" i="31"/>
  <c r="U53" i="31" s="1"/>
  <c r="V12" i="31"/>
  <c r="U61" i="31"/>
  <c r="T61" i="31"/>
  <c r="B28" i="47"/>
  <c r="G28" i="47" s="1"/>
  <c r="G22" i="47"/>
  <c r="T17" i="31"/>
  <c r="V17" i="31" s="1"/>
  <c r="U17" i="31"/>
  <c r="U20" i="31" s="1"/>
  <c r="U76" i="31"/>
  <c r="U110" i="31" s="1"/>
  <c r="T76" i="31"/>
  <c r="AH18" i="30"/>
  <c r="AH20" i="30" s="1"/>
  <c r="AH21" i="30" s="1"/>
  <c r="AC29" i="30"/>
  <c r="U38" i="31"/>
  <c r="U43" i="31" s="1"/>
  <c r="T38" i="31"/>
  <c r="V50" i="31"/>
  <c r="V53" i="31" s="1"/>
  <c r="T53" i="31"/>
  <c r="V119" i="30"/>
  <c r="AH7" i="30"/>
  <c r="X119" i="30"/>
  <c r="U27" i="31"/>
  <c r="U30" i="31" s="1"/>
  <c r="T27" i="31"/>
  <c r="X119" i="31"/>
  <c r="AH7" i="31"/>
  <c r="H418" i="39"/>
  <c r="H420" i="39" s="1"/>
  <c r="C30" i="25" l="1"/>
  <c r="U65" i="31"/>
  <c r="U119" i="31" s="1"/>
  <c r="T20" i="31"/>
  <c r="T43" i="31"/>
  <c r="V38" i="31"/>
  <c r="V43" i="31" s="1"/>
  <c r="V20" i="31"/>
  <c r="V76" i="31"/>
  <c r="V110" i="31" s="1"/>
  <c r="T110" i="31"/>
  <c r="V27" i="31"/>
  <c r="V30" i="31" s="1"/>
  <c r="T30" i="31"/>
  <c r="V61" i="31"/>
  <c r="V65" i="31" s="1"/>
  <c r="T65" i="31"/>
  <c r="C37" i="25" l="1"/>
  <c r="C39" i="25" s="1"/>
  <c r="T119" i="31"/>
  <c r="V119" i="31"/>
  <c r="D37" i="25" l="1"/>
  <c r="D24" i="25" l="1"/>
  <c r="B13" i="25"/>
  <c r="B15" i="25" l="1"/>
  <c r="B30" i="25" s="1"/>
  <c r="D13" i="25" l="1"/>
  <c r="D15" i="25" l="1"/>
  <c r="D28" i="25" l="1"/>
  <c r="D30" i="25" l="1"/>
  <c r="D39" i="2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 Collins</author>
  </authors>
  <commentList>
    <comment ref="E19" authorId="0" shapeId="0" xr:uid="{00000000-0006-0000-0200-000001000000}">
      <text>
        <r>
          <rPr>
            <b/>
            <sz val="20"/>
            <color indexed="81"/>
            <rFont val="Tahoma"/>
            <family val="2"/>
          </rPr>
          <t>Faraha:</t>
        </r>
        <r>
          <rPr>
            <sz val="20"/>
            <color indexed="81"/>
            <rFont val="Tahoma"/>
            <family val="2"/>
          </rPr>
          <t xml:space="preserve">
Demo Rep on estimates</t>
        </r>
      </text>
    </comment>
    <comment ref="E20" authorId="0" shapeId="0" xr:uid="{00000000-0006-0000-0200-000002000000}">
      <text>
        <r>
          <rPr>
            <b/>
            <sz val="20"/>
            <color indexed="81"/>
            <rFont val="Tahoma"/>
            <family val="2"/>
          </rPr>
          <t>Faraha:</t>
        </r>
        <r>
          <rPr>
            <sz val="20"/>
            <color indexed="81"/>
            <rFont val="Tahoma"/>
            <family val="2"/>
          </rPr>
          <t xml:space="preserve">
Corp Management on estimates</t>
        </r>
      </text>
    </comment>
    <comment ref="E32" authorId="0" shapeId="0" xr:uid="{00000000-0006-0000-0200-000003000000}">
      <text>
        <r>
          <rPr>
            <b/>
            <sz val="20"/>
            <color indexed="81"/>
            <rFont val="Tahoma"/>
            <family val="2"/>
          </rPr>
          <t>Faraha:</t>
        </r>
        <r>
          <rPr>
            <sz val="20"/>
            <color indexed="81"/>
            <rFont val="Tahoma"/>
            <family val="2"/>
          </rPr>
          <t xml:space="preserve">
Demo Rep on estimates</t>
        </r>
      </text>
    </comment>
    <comment ref="E33" authorId="0" shapeId="0" xr:uid="{00000000-0006-0000-0200-000004000000}">
      <text>
        <r>
          <rPr>
            <b/>
            <sz val="20"/>
            <color indexed="81"/>
            <rFont val="Tahoma"/>
            <family val="2"/>
          </rPr>
          <t>Faraha:</t>
        </r>
        <r>
          <rPr>
            <sz val="20"/>
            <color indexed="81"/>
            <rFont val="Tahoma"/>
            <family val="2"/>
          </rPr>
          <t xml:space="preserve">
Corp Management on estimates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Faraha Basheer</author>
    <author>goodmam</author>
    <author>basheef</author>
    <author>Paul C</author>
  </authors>
  <commentList>
    <comment ref="J17" authorId="0" shapeId="0" xr:uid="{00000000-0006-0000-0D00-000001000000}">
      <text>
        <r>
          <rPr>
            <b/>
            <sz val="12"/>
            <color indexed="81"/>
            <rFont val="Tahoma"/>
            <family val="2"/>
          </rPr>
          <t>Faraha Basheer:</t>
        </r>
        <r>
          <rPr>
            <sz val="12"/>
            <color indexed="81"/>
            <rFont val="Tahoma"/>
            <family val="2"/>
          </rPr>
          <t xml:space="preserve">
Per WDDC Workings</t>
        </r>
      </text>
    </comment>
    <comment ref="K17" authorId="1" shapeId="0" xr:uid="{00000000-0006-0000-0D00-000002000000}">
      <text>
        <r>
          <rPr>
            <sz val="8"/>
            <color indexed="81"/>
            <rFont val="Tahoma"/>
            <family val="2"/>
          </rPr>
          <t>How is the change of contract going to affect the budget?</t>
        </r>
      </text>
    </comment>
    <comment ref="G18" authorId="2" shapeId="0" xr:uid="{00000000-0006-0000-0D00-000003000000}">
      <text>
        <r>
          <rPr>
            <sz val="20"/>
            <color indexed="81"/>
            <rFont val="Tahoma"/>
            <family val="2"/>
          </rPr>
          <t>Faraha: Moved Ellis W cost from Legal and Prof Fees in Admin</t>
        </r>
      </text>
    </comment>
    <comment ref="J18" authorId="1" shapeId="0" xr:uid="{00000000-0006-0000-0D00-000004000000}">
      <text>
        <r>
          <rPr>
            <b/>
            <sz val="8"/>
            <color indexed="81"/>
            <rFont val="Tahoma"/>
            <family val="2"/>
          </rPr>
          <t>goodmam:</t>
        </r>
        <r>
          <rPr>
            <sz val="8"/>
            <color indexed="81"/>
            <rFont val="Tahoma"/>
            <family val="2"/>
          </rPr>
          <t xml:space="preserve">
No  spend this year as marked as one of the economies to see a saving. Put back in 13/14</t>
        </r>
      </text>
    </comment>
    <comment ref="G23" authorId="2" shapeId="0" xr:uid="{00000000-0006-0000-0D00-000005000000}">
      <text>
        <r>
          <rPr>
            <b/>
            <sz val="20"/>
            <color indexed="81"/>
            <rFont val="Tahoma"/>
            <family val="2"/>
          </rPr>
          <t xml:space="preserve">Faraha: 
</t>
        </r>
        <r>
          <rPr>
            <sz val="20"/>
            <color indexed="81"/>
            <rFont val="Tahoma"/>
            <family val="2"/>
          </rPr>
          <t>Total spent = 20912.41 including 4695 of installation.
Out of this, 
 - Payments by us to Bibby Factors, Southern Electric, Trinity St Xmas Trees, Sydenhams Hire Centre, Goulds Dorchester
 - Contributions in to us for Xmas Lighting from WDDC and Dorchester BID
 - At end of last year, transfer from reserves of £11096.00. This is not included here, but at the bottom, project budget</t>
        </r>
      </text>
    </comment>
    <comment ref="J23" authorId="2" shapeId="0" xr:uid="{00000000-0006-0000-0D00-000006000000}">
      <text>
        <r>
          <rPr>
            <b/>
            <sz val="20"/>
            <color indexed="81"/>
            <rFont val="Tahoma"/>
            <family val="2"/>
          </rPr>
          <t xml:space="preserve">Faraha: 
</t>
        </r>
        <r>
          <rPr>
            <sz val="20"/>
            <color indexed="81"/>
            <rFont val="Tahoma"/>
            <family val="2"/>
          </rPr>
          <t>Last year budget, most met by reserves, except 4838 installation and removal of xmas lighting</t>
        </r>
      </text>
    </comment>
    <comment ref="G25" authorId="0" shapeId="0" xr:uid="{00000000-0006-0000-0D00-000007000000}">
      <text>
        <r>
          <rPr>
            <b/>
            <sz val="16"/>
            <color indexed="81"/>
            <rFont val="Tahoma"/>
            <family val="2"/>
          </rPr>
          <t>Faraha Basheer:</t>
        </r>
        <r>
          <rPr>
            <sz val="16"/>
            <color indexed="81"/>
            <rFont val="Tahoma"/>
            <family val="2"/>
          </rPr>
          <t xml:space="preserve">
Taken 800+1000+800+400+400+400 relating to 0809 (from 'Building Maintenance Schedule' on sage) from PGOS Actual for'Legal Fees', and put it on here</t>
        </r>
      </text>
    </comment>
    <comment ref="J27" authorId="0" shapeId="0" xr:uid="{00000000-0006-0000-0D00-000008000000}">
      <text>
        <r>
          <rPr>
            <b/>
            <sz val="20"/>
            <color indexed="81"/>
            <rFont val="Tahoma"/>
            <family val="2"/>
          </rPr>
          <t>Faraha Basheer:</t>
        </r>
        <r>
          <rPr>
            <sz val="20"/>
            <color indexed="81"/>
            <rFont val="Tahoma"/>
            <family val="2"/>
          </rPr>
          <t xml:space="preserve">
Taken 2000 out of here, and put 2000 in Admin for CRB checks</t>
        </r>
      </text>
    </comment>
    <comment ref="C33" authorId="2" shapeId="0" xr:uid="{00000000-0006-0000-0D00-000009000000}">
      <text>
        <r>
          <rPr>
            <b/>
            <sz val="20"/>
            <color indexed="81"/>
            <rFont val="Tahoma"/>
            <family val="2"/>
          </rPr>
          <t xml:space="preserve">Faraha: 
</t>
        </r>
        <r>
          <rPr>
            <sz val="20"/>
            <color indexed="81"/>
            <rFont val="Tahoma"/>
            <family val="2"/>
          </rPr>
          <t>Internal (Henry) and External Audit (BDO)</t>
        </r>
      </text>
    </comment>
    <comment ref="I33" authorId="2" shapeId="0" xr:uid="{00000000-0006-0000-0D00-00000A000000}">
      <text>
        <r>
          <rPr>
            <sz val="20"/>
            <color indexed="81"/>
            <rFont val="Tahoma"/>
            <family val="2"/>
          </rPr>
          <t>Faraha:
Mostly paid at end of year (November onwards, and usually an accrual fro BDO External Audit fees for Accounts Audit)</t>
        </r>
      </text>
    </comment>
    <comment ref="C34" authorId="0" shapeId="0" xr:uid="{00000000-0006-0000-0D00-00000B000000}">
      <text>
        <r>
          <rPr>
            <b/>
            <sz val="14"/>
            <color indexed="81"/>
            <rFont val="Tahoma"/>
            <family val="2"/>
          </rPr>
          <t>Faraha Basheer:</t>
        </r>
        <r>
          <rPr>
            <sz val="14"/>
            <color indexed="81"/>
            <rFont val="Tahoma"/>
            <family val="2"/>
          </rPr>
          <t xml:space="preserve">
DTC own contribution toward S137</t>
        </r>
      </text>
    </comment>
    <comment ref="G34" authorId="2" shapeId="0" xr:uid="{00000000-0006-0000-0D00-00000C000000}">
      <text>
        <r>
          <rPr>
            <sz val="18"/>
            <color indexed="81"/>
            <rFont val="Tahoma"/>
            <family val="2"/>
          </rPr>
          <t>Faraha:
47900199 - Match ball sponsorship 
less 205 and 250 which are not s137 but grants and don in BCA</t>
        </r>
      </text>
    </comment>
    <comment ref="I34" authorId="2" shapeId="0" xr:uid="{00000000-0006-0000-0D00-00000D000000}">
      <text>
        <r>
          <rPr>
            <b/>
            <sz val="20"/>
            <color indexed="81"/>
            <rFont val="Tahoma"/>
            <family val="2"/>
          </rPr>
          <t xml:space="preserve">Faraha: </t>
        </r>
        <r>
          <rPr>
            <sz val="20"/>
            <color indexed="81"/>
            <rFont val="Tahoma"/>
            <family val="2"/>
          </rPr>
          <t>Match Ball Sponsorship</t>
        </r>
      </text>
    </comment>
    <comment ref="C35" authorId="0" shapeId="0" xr:uid="{00000000-0006-0000-0D00-00000E000000}">
      <text>
        <r>
          <rPr>
            <b/>
            <sz val="14"/>
            <color indexed="81"/>
            <rFont val="Tahoma"/>
            <family val="2"/>
          </rPr>
          <t>Faraha Basheer:</t>
        </r>
        <r>
          <rPr>
            <sz val="14"/>
            <color indexed="81"/>
            <rFont val="Tahoma"/>
            <family val="2"/>
          </rPr>
          <t xml:space="preserve">
Section 137 of the Local Government Act 1972 (as amended) enables the Council to spend up to the product of £5.64 per head on the electoral roll in any one year for the benefit of people in its area on activities or projects not specifically authorised by other powers.  The Council was permitted to spend £83,757 under this power in 2008/09(2008/09 - £5.86 per head x 14,293 electorate figure for Dorchester as at 1st December 2008). Expenditure was incurred for Grants to Local Voluntary Bodies.</t>
        </r>
      </text>
    </comment>
    <comment ref="G35" authorId="0" shapeId="0" xr:uid="{00000000-0006-0000-0D00-00000F000000}">
      <text>
        <r>
          <rPr>
            <b/>
            <sz val="14"/>
            <color indexed="81"/>
            <rFont val="Tahoma"/>
            <family val="2"/>
          </rPr>
          <t>Faraha Basheer:</t>
        </r>
        <r>
          <rPr>
            <sz val="14"/>
            <color indexed="81"/>
            <rFont val="Tahoma"/>
            <family val="2"/>
          </rPr>
          <t xml:space="preserve">
Bill Raised by DMJC for their spending on S137 Donations - we have no idea what this will be, so can't budget for it</t>
        </r>
      </text>
    </comment>
    <comment ref="G36" authorId="2" shapeId="0" xr:uid="{00000000-0006-0000-0D00-000010000000}">
      <text>
        <r>
          <rPr>
            <b/>
            <sz val="20"/>
            <color indexed="81"/>
            <rFont val="Tahoma"/>
            <family val="2"/>
          </rPr>
          <t xml:space="preserve">Faraha: </t>
        </r>
        <r>
          <rPr>
            <sz val="20"/>
            <color indexed="81"/>
            <rFont val="Tahoma"/>
            <family val="2"/>
          </rPr>
          <t xml:space="preserve">
Nothing in 0910 Actuals either</t>
        </r>
      </text>
    </comment>
    <comment ref="G37" authorId="2" shapeId="0" xr:uid="{00000000-0006-0000-0D00-000011000000}">
      <text>
        <r>
          <rPr>
            <b/>
            <sz val="20"/>
            <color indexed="81"/>
            <rFont val="Tahoma"/>
            <family val="2"/>
          </rPr>
          <t xml:space="preserve">Faraha: </t>
        </r>
        <r>
          <rPr>
            <sz val="20"/>
            <color indexed="81"/>
            <rFont val="Tahoma"/>
            <family val="2"/>
          </rPr>
          <t xml:space="preserve">
Nothing in 0910 Actuals either</t>
        </r>
      </text>
    </comment>
    <comment ref="G38" authorId="2" shapeId="0" xr:uid="{00000000-0006-0000-0D00-000012000000}">
      <text>
        <r>
          <rPr>
            <sz val="20"/>
            <color indexed="81"/>
            <rFont val="Tahoma"/>
            <family val="2"/>
          </rPr>
          <t>Faraha: Paid Dorchester Municipal Charities, grants</t>
        </r>
      </text>
    </comment>
    <comment ref="C41" authorId="0" shapeId="0" xr:uid="{00000000-0006-0000-0D00-000013000000}">
      <text>
        <r>
          <rPr>
            <b/>
            <sz val="14"/>
            <color indexed="81"/>
            <rFont val="Tahoma"/>
            <family val="2"/>
          </rPr>
          <t>Faraha Basheer:</t>
        </r>
        <r>
          <rPr>
            <sz val="14"/>
            <color indexed="81"/>
            <rFont val="Tahoma"/>
            <family val="2"/>
          </rPr>
          <t xml:space="preserve">
Difference between Sunday Market Income and S137 distributions</t>
        </r>
      </text>
    </comment>
    <comment ref="G55" authorId="2" shapeId="0" xr:uid="{00000000-0006-0000-0D00-000014000000}">
      <text>
        <r>
          <rPr>
            <sz val="20"/>
            <color indexed="81"/>
            <rFont val="Tahoma"/>
            <family val="2"/>
          </rPr>
          <t>21091 from Burials
621 is the movement in Sunday Mkt</t>
        </r>
      </text>
    </comment>
    <comment ref="G63" authorId="2" shapeId="0" xr:uid="{00000000-0006-0000-0D00-000015000000}">
      <text>
        <r>
          <rPr>
            <sz val="20"/>
            <color indexed="81"/>
            <rFont val="Tahoma"/>
            <family val="2"/>
          </rPr>
          <t>£7,000 Xmas Lighting Contrib from Dorchester BID
£2,921 Xmas Lighting Contrib from WDDC</t>
        </r>
      </text>
    </comment>
    <comment ref="G64" authorId="2" shapeId="0" xr:uid="{00000000-0006-0000-0D00-000016000000}">
      <text>
        <r>
          <rPr>
            <sz val="20"/>
            <color indexed="81"/>
            <rFont val="Tahoma"/>
            <family val="2"/>
          </rPr>
          <t>Includes Burials Admin Fees. At the time, Burials was not incorporated, but now is. So no more admin fees. Instead, the usual recharge from 11/12 onwards</t>
        </r>
      </text>
    </comment>
    <comment ref="J66" authorId="2" shapeId="0" xr:uid="{00000000-0006-0000-0D00-000017000000}">
      <text>
        <r>
          <rPr>
            <sz val="20"/>
            <color indexed="81"/>
            <rFont val="Tahoma"/>
            <family val="2"/>
          </rPr>
          <t xml:space="preserve">Will get NS &amp; I Savings income. This doesn't include that
</t>
        </r>
      </text>
    </comment>
    <comment ref="C69" authorId="0" shapeId="0" xr:uid="{00000000-0006-0000-0D00-000018000000}">
      <text>
        <r>
          <rPr>
            <b/>
            <sz val="16"/>
            <color indexed="81"/>
            <rFont val="Tahoma"/>
            <family val="2"/>
          </rPr>
          <t>Faraha Basheer:</t>
        </r>
        <r>
          <rPr>
            <sz val="16"/>
            <color indexed="81"/>
            <rFont val="Tahoma"/>
            <family val="2"/>
          </rPr>
          <t xml:space="preserve">
Wednesday Market Income</t>
        </r>
      </text>
    </comment>
    <comment ref="G69" authorId="2" shapeId="0" xr:uid="{00000000-0006-0000-0D00-000019000000}">
      <text>
        <r>
          <rPr>
            <sz val="20"/>
            <color indexed="81"/>
            <rFont val="Tahoma"/>
            <family val="2"/>
          </rPr>
          <t xml:space="preserve">Accrued twice for the £10694?
Amount should be 67862.76. Difference is 10694 from above, plus 608.24 diff (MG has also identified this diff)
</t>
        </r>
      </text>
    </comment>
    <comment ref="K69" authorId="0" shapeId="0" xr:uid="{00000000-0006-0000-0D00-00001A000000}">
      <text>
        <r>
          <rPr>
            <b/>
            <sz val="16"/>
            <color indexed="81"/>
            <rFont val="Tahoma"/>
            <family val="2"/>
          </rPr>
          <t>Faraha Basheer:</t>
        </r>
        <r>
          <rPr>
            <sz val="16"/>
            <color indexed="81"/>
            <rFont val="Tahoma"/>
            <family val="2"/>
          </rPr>
          <t xml:space="preserve">
Surplus of 220612 - £9k x 35% - £10.5k (Car Boot))</t>
        </r>
      </text>
    </comment>
    <comment ref="C70" authorId="0" shapeId="0" xr:uid="{00000000-0006-0000-0D00-00001B000000}">
      <text>
        <r>
          <rPr>
            <b/>
            <sz val="14"/>
            <color indexed="81"/>
            <rFont val="Tahoma"/>
            <family val="2"/>
          </rPr>
          <t>Faraha Basheer:</t>
        </r>
        <r>
          <rPr>
            <sz val="14"/>
            <color indexed="81"/>
            <rFont val="Tahoma"/>
            <family val="2"/>
          </rPr>
          <t xml:space="preserve">
From Sunday Market, all income comes in and goes to Sunday Market Reserve (see Reserves) i.e. it is set aside in the reserve. The Markets Committee (DMJC) distribute this to worthy causes/areas/projects per S137 - only DMJC do this, the DTC do NOT pay anything from THIS reserve. DTC have their own separate budget where they make S137 contributions (see above 'Grants Panel'.
So to summarise, Sunday Market income comes in here. It gets transferred out to Reserve per line 40 - Transfer to Sunday Market Reserve. We then get an invoice from DMJC (See 0809 Actual £11242 in 'Section 137 Donations above') for the amount they have paid to various places for S137 and have invoiced us as we are holding the money in a reserve. The money to pay for this comes out of the Sunday Markets Reserve that has built up.</t>
        </r>
      </text>
    </comment>
    <comment ref="G71" authorId="2" shapeId="0" xr:uid="{00000000-0006-0000-0D00-00001C000000}">
      <text>
        <r>
          <rPr>
            <sz val="20"/>
            <color indexed="81"/>
            <rFont val="Tahoma"/>
            <family val="2"/>
          </rPr>
          <t>Faraha:
Adjustment to Bad Debt provision - Provision Held was 6092.34, and Provision required was 5226.34 - reduced 6092.34 by 866.33</t>
        </r>
        <r>
          <rPr>
            <b/>
            <sz val="20"/>
            <color indexed="81"/>
            <rFont val="Tahoma"/>
            <family val="2"/>
          </rPr>
          <t xml:space="preserve">
</t>
        </r>
      </text>
    </comment>
    <comment ref="K76" authorId="3" shapeId="0" xr:uid="{00000000-0006-0000-0D00-00001D000000}">
      <text>
        <r>
          <rPr>
            <b/>
            <sz val="8"/>
            <color indexed="81"/>
            <rFont val="Tahoma"/>
            <family val="2"/>
          </rPr>
          <t>Paul C:</t>
        </r>
        <r>
          <rPr>
            <sz val="8"/>
            <color indexed="81"/>
            <rFont val="Tahoma"/>
            <family val="2"/>
          </rPr>
          <t xml:space="preserve">
No grant from 2008/09 onwards</t>
        </r>
      </text>
    </comment>
    <comment ref="C79" authorId="2" shapeId="0" xr:uid="{00000000-0006-0000-0D00-00001E000000}">
      <text>
        <r>
          <rPr>
            <b/>
            <sz val="20"/>
            <color indexed="81"/>
            <rFont val="Tahoma"/>
            <family val="2"/>
          </rPr>
          <t>Miscode?</t>
        </r>
      </text>
    </comment>
    <comment ref="G79" authorId="2" shapeId="0" xr:uid="{00000000-0006-0000-0D00-00001F000000}">
      <text>
        <r>
          <rPr>
            <b/>
            <sz val="20"/>
            <color indexed="81"/>
            <rFont val="Tahoma"/>
            <family val="2"/>
          </rPr>
          <t xml:space="preserve">Faraha:
</t>
        </r>
        <r>
          <rPr>
            <sz val="20"/>
            <color indexed="81"/>
            <rFont val="Tahoma"/>
            <family val="2"/>
          </rPr>
          <t>Heritage Town Trail Grant received in 0910</t>
        </r>
      </text>
    </comment>
    <comment ref="G81" authorId="2" shapeId="0" xr:uid="{00000000-0006-0000-0D00-000020000000}">
      <text>
        <r>
          <rPr>
            <sz val="20"/>
            <color indexed="81"/>
            <rFont val="Tahoma"/>
            <family val="2"/>
          </rPr>
          <t>21091 from Burials
621 is the movement in Sunday Mkt</t>
        </r>
      </text>
    </comment>
    <comment ref="K83" authorId="0" shapeId="0" xr:uid="{00000000-0006-0000-0D00-000021000000}">
      <text>
        <r>
          <rPr>
            <b/>
            <sz val="8"/>
            <color indexed="81"/>
            <rFont val="Tahoma"/>
            <family val="2"/>
          </rPr>
          <t>Faraha Basheer:</t>
        </r>
        <r>
          <rPr>
            <sz val="8"/>
            <color indexed="81"/>
            <rFont val="Tahoma"/>
            <family val="2"/>
          </rPr>
          <t xml:space="preserve">
Total of all cap charges and amortisation</t>
        </r>
      </text>
    </comment>
    <comment ref="C93" authorId="2" shapeId="0" xr:uid="{00000000-0006-0000-0D00-000022000000}">
      <text>
        <r>
          <rPr>
            <b/>
            <sz val="20"/>
            <color indexed="81"/>
            <rFont val="Tahoma"/>
            <family val="2"/>
          </rPr>
          <t>Capital Spend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Nigel Hayes</author>
  </authors>
  <commentList>
    <comment ref="I15" authorId="0" shapeId="0" xr:uid="{63968687-2AD6-4DC1-A1A7-3AF63141C634}">
      <text>
        <r>
          <rPr>
            <sz val="9"/>
            <color indexed="81"/>
            <rFont val="Tahoma"/>
            <family val="2"/>
          </rPr>
          <t xml:space="preserve">£250k Cornhill
£30k Fairfield
</t>
        </r>
      </text>
    </comment>
    <comment ref="I16" authorId="0" shapeId="0" xr:uid="{97B52EB3-D34B-4451-A701-FA14373A919B}">
      <text>
        <r>
          <rPr>
            <sz val="9"/>
            <color indexed="81"/>
            <rFont val="Tahoma"/>
            <family val="2"/>
          </rPr>
          <t xml:space="preserve">Replace Transit
</t>
        </r>
      </text>
    </comment>
    <comment ref="F24" authorId="0" shapeId="0" xr:uid="{A184DDE7-089C-443D-93EF-2D084288C23E}">
      <text>
        <r>
          <rPr>
            <sz val="9"/>
            <color indexed="81"/>
            <rFont val="Tahoma"/>
            <family val="2"/>
          </rPr>
          <t xml:space="preserve">To MB FOH
</t>
        </r>
      </text>
    </comment>
    <comment ref="H24" authorId="0" shapeId="0" xr:uid="{6F9233C9-104D-483A-97F4-D73670C9771A}">
      <text>
        <r>
          <rPr>
            <sz val="9"/>
            <color indexed="81"/>
            <rFont val="Tahoma"/>
            <family val="2"/>
          </rPr>
          <t xml:space="preserve">£239k MB FOH Repayment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collinp</author>
  </authors>
  <commentList>
    <comment ref="A10" authorId="0" shapeId="0" xr:uid="{00000000-0006-0000-1E00-000001000000}">
      <text>
        <r>
          <rPr>
            <b/>
            <sz val="8"/>
            <color indexed="81"/>
            <rFont val="Tahoma"/>
            <family val="2"/>
          </rPr>
          <t>collinp:</t>
        </r>
        <r>
          <rPr>
            <sz val="8"/>
            <color indexed="81"/>
            <rFont val="Tahoma"/>
            <family val="2"/>
          </rPr>
          <t xml:space="preserve">
includes amount accrued in to 07/08 - rec'd 08/09</t>
        </r>
      </text>
    </comment>
    <comment ref="D10" authorId="0" shapeId="0" xr:uid="{00000000-0006-0000-1E00-000002000000}">
      <text>
        <r>
          <rPr>
            <b/>
            <sz val="8"/>
            <color indexed="81"/>
            <rFont val="Tahoma"/>
            <family val="2"/>
          </rPr>
          <t>collinp:</t>
        </r>
        <r>
          <rPr>
            <sz val="8"/>
            <color indexed="81"/>
            <rFont val="Tahoma"/>
            <family val="2"/>
          </rPr>
          <t xml:space="preserve">
20 years estimated life</t>
        </r>
      </text>
    </comment>
    <comment ref="D11" authorId="0" shapeId="0" xr:uid="{00000000-0006-0000-1E00-000003000000}">
      <text>
        <r>
          <rPr>
            <b/>
            <sz val="8"/>
            <color indexed="81"/>
            <rFont val="Tahoma"/>
            <family val="2"/>
          </rPr>
          <t>collinp:</t>
        </r>
        <r>
          <rPr>
            <sz val="8"/>
            <color indexed="81"/>
            <rFont val="Tahoma"/>
            <family val="2"/>
          </rPr>
          <t xml:space="preserve">
20 years estimated life</t>
        </r>
      </text>
    </comment>
    <comment ref="D12" authorId="0" shapeId="0" xr:uid="{00000000-0006-0000-1E00-000004000000}">
      <text>
        <r>
          <rPr>
            <b/>
            <sz val="8"/>
            <color indexed="81"/>
            <rFont val="Tahoma"/>
            <family val="2"/>
          </rPr>
          <t>collinp:</t>
        </r>
        <r>
          <rPr>
            <sz val="8"/>
            <color indexed="81"/>
            <rFont val="Tahoma"/>
            <family val="2"/>
          </rPr>
          <t xml:space="preserve">
30 years estimated life</t>
        </r>
      </text>
    </comment>
    <comment ref="D13" authorId="0" shapeId="0" xr:uid="{00000000-0006-0000-1E00-000005000000}">
      <text>
        <r>
          <rPr>
            <b/>
            <sz val="8"/>
            <color indexed="81"/>
            <rFont val="Tahoma"/>
            <family val="2"/>
          </rPr>
          <t>collinp:</t>
        </r>
        <r>
          <rPr>
            <sz val="8"/>
            <color indexed="81"/>
            <rFont val="Tahoma"/>
            <family val="2"/>
          </rPr>
          <t xml:space="preserve">
community asset, hence not depreciated</t>
        </r>
      </text>
    </comment>
    <comment ref="D14" authorId="0" shapeId="0" xr:uid="{00000000-0006-0000-1E00-000006000000}">
      <text>
        <r>
          <rPr>
            <b/>
            <sz val="8"/>
            <color indexed="81"/>
            <rFont val="Tahoma"/>
            <family val="2"/>
          </rPr>
          <t>collinp:</t>
        </r>
        <r>
          <rPr>
            <sz val="8"/>
            <color indexed="81"/>
            <rFont val="Tahoma"/>
            <family val="2"/>
          </rPr>
          <t xml:space="preserve">
based on grant of £10000 spread over life of Playground Equipment (10 years)</t>
        </r>
      </text>
    </comment>
    <comment ref="D15" authorId="0" shapeId="0" xr:uid="{00000000-0006-0000-1E00-000007000000}">
      <text>
        <r>
          <rPr>
            <b/>
            <sz val="8"/>
            <color indexed="81"/>
            <rFont val="Tahoma"/>
            <family val="2"/>
          </rPr>
          <t>collinp:</t>
        </r>
        <r>
          <rPr>
            <sz val="8"/>
            <color indexed="81"/>
            <rFont val="Tahoma"/>
            <family val="2"/>
          </rPr>
          <t xml:space="preserve">
based on grant of £10000 spread over life of AV Equipment (5 years)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Paul Collins</author>
  </authors>
  <commentList>
    <comment ref="D14" authorId="0" shapeId="0" xr:uid="{00000000-0006-0000-1F00-000001000000}">
      <text>
        <r>
          <rPr>
            <b/>
            <sz val="8"/>
            <color indexed="81"/>
            <rFont val="Tahoma"/>
            <family val="2"/>
          </rPr>
          <t>Paul Collins:</t>
        </r>
        <r>
          <rPr>
            <sz val="8"/>
            <color indexed="81"/>
            <rFont val="Tahoma"/>
            <family val="2"/>
          </rPr>
          <t xml:space="preserve">
</t>
        </r>
        <r>
          <rPr>
            <sz val="12"/>
            <color indexed="81"/>
            <rFont val="Tahoma"/>
            <family val="2"/>
          </rPr>
          <t>demo rep on estimates</t>
        </r>
      </text>
    </comment>
    <comment ref="D15" authorId="0" shapeId="0" xr:uid="{00000000-0006-0000-1F00-000002000000}">
      <text>
        <r>
          <rPr>
            <b/>
            <sz val="8"/>
            <color indexed="81"/>
            <rFont val="Tahoma"/>
            <family val="2"/>
          </rPr>
          <t>Paul Collins:</t>
        </r>
        <r>
          <rPr>
            <sz val="8"/>
            <color indexed="81"/>
            <rFont val="Tahoma"/>
            <family val="2"/>
          </rPr>
          <t xml:space="preserve">
corp management on estimates</t>
        </r>
      </text>
    </comment>
    <comment ref="D26" authorId="0" shapeId="0" xr:uid="{00000000-0006-0000-1F00-000003000000}">
      <text>
        <r>
          <rPr>
            <b/>
            <sz val="8"/>
            <color indexed="81"/>
            <rFont val="Tahoma"/>
            <family val="2"/>
          </rPr>
          <t>Paul Collins:</t>
        </r>
        <r>
          <rPr>
            <sz val="8"/>
            <color indexed="81"/>
            <rFont val="Tahoma"/>
            <family val="2"/>
          </rPr>
          <t xml:space="preserve">
demo rep on estimates</t>
        </r>
      </text>
    </comment>
    <comment ref="D27" authorId="0" shapeId="0" xr:uid="{00000000-0006-0000-1F00-000004000000}">
      <text>
        <r>
          <rPr>
            <b/>
            <sz val="8"/>
            <color indexed="81"/>
            <rFont val="Tahoma"/>
            <family val="2"/>
          </rPr>
          <t>Paul Collins:</t>
        </r>
        <r>
          <rPr>
            <sz val="8"/>
            <color indexed="81"/>
            <rFont val="Tahoma"/>
            <family val="2"/>
          </rPr>
          <t xml:space="preserve">
corp management on estimates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richard</author>
  </authors>
  <commentList>
    <comment ref="O252" authorId="0" shapeId="0" xr:uid="{00000000-0006-0000-2000-000001000000}">
      <text>
        <r>
          <rPr>
            <b/>
            <sz val="8"/>
            <color indexed="81"/>
            <rFont val="Tahoma"/>
            <family val="2"/>
          </rPr>
          <t xml:space="preserve">From Rechargable
</t>
        </r>
      </text>
    </comment>
    <comment ref="O361" authorId="0" shapeId="0" xr:uid="{00000000-0006-0000-2000-000002000000}">
      <text>
        <r>
          <rPr>
            <b/>
            <sz val="8"/>
            <color indexed="81"/>
            <rFont val="Tahoma"/>
            <family val="2"/>
          </rPr>
          <t>richard:</t>
        </r>
        <r>
          <rPr>
            <sz val="8"/>
            <color indexed="81"/>
            <rFont val="Tahoma"/>
            <family val="2"/>
          </rPr>
          <t xml:space="preserve">
To non-rechargeable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Paul Collins</author>
  </authors>
  <commentList>
    <comment ref="D3" authorId="0" shapeId="0" xr:uid="{00000000-0006-0000-2100-000001000000}">
      <text>
        <r>
          <rPr>
            <b/>
            <sz val="8"/>
            <color indexed="81"/>
            <rFont val="Tahoma"/>
            <family val="2"/>
          </rPr>
          <t>Paul Collins:</t>
        </r>
        <r>
          <rPr>
            <sz val="8"/>
            <color indexed="81"/>
            <rFont val="Tahoma"/>
            <family val="2"/>
          </rPr>
          <t xml:space="preserve">
*Assumes 4% increase from 09/10 renewal</t>
        </r>
      </text>
    </comment>
    <comment ref="B4" authorId="0" shapeId="0" xr:uid="{00000000-0006-0000-2100-000002000000}">
      <text>
        <r>
          <rPr>
            <b/>
            <sz val="8"/>
            <color indexed="81"/>
            <rFont val="Tahoma"/>
            <family val="2"/>
          </rPr>
          <t>Paul Collins:</t>
        </r>
        <r>
          <rPr>
            <sz val="8"/>
            <color indexed="81"/>
            <rFont val="Tahoma"/>
            <family val="2"/>
          </rPr>
          <t xml:space="preserve">
includes various endorsements through year</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richard</author>
  </authors>
  <commentList>
    <comment ref="O259" authorId="0" shapeId="0" xr:uid="{00000000-0006-0000-2200-000001000000}">
      <text>
        <r>
          <rPr>
            <b/>
            <sz val="8"/>
            <color indexed="81"/>
            <rFont val="Tahoma"/>
            <family val="2"/>
          </rPr>
          <t xml:space="preserve">From Rechargable
</t>
        </r>
      </text>
    </comment>
    <comment ref="O373" authorId="0" shapeId="0" xr:uid="{00000000-0006-0000-2200-000002000000}">
      <text>
        <r>
          <rPr>
            <b/>
            <sz val="8"/>
            <color indexed="81"/>
            <rFont val="Tahoma"/>
            <family val="2"/>
          </rPr>
          <t>richard:</t>
        </r>
        <r>
          <rPr>
            <sz val="8"/>
            <color indexed="81"/>
            <rFont val="Tahoma"/>
            <family val="2"/>
          </rPr>
          <t xml:space="preserve">
To non-rechargeable</t>
        </r>
      </text>
    </comment>
  </commentList>
</comments>
</file>

<file path=xl/sharedStrings.xml><?xml version="1.0" encoding="utf-8"?>
<sst xmlns="http://schemas.openxmlformats.org/spreadsheetml/2006/main" count="8715" uniqueCount="2270">
  <si>
    <t>Timetable</t>
  </si>
  <si>
    <t>1st Draft and Meeting with Steve / Dennis</t>
  </si>
  <si>
    <t>Final Draft and Meeting with Dennis including Summary / Precept Tables / Subjective Analysis / Reserve (may be a few last minute amendments after the meeting!)</t>
  </si>
  <si>
    <t>Planning Estimates sent out for Planning &amp; Environment Committee Meeting</t>
  </si>
  <si>
    <t>Allotments, PGOS, B&amp;CA, Twinning Estimates sent out for Management Committee Meeting</t>
  </si>
  <si>
    <t>Full Estimates, Summary, Updated MTFS, Recommended Reserves</t>
  </si>
  <si>
    <t>Amended Information for full Council</t>
  </si>
  <si>
    <t>Changes Made by PWC</t>
  </si>
  <si>
    <t>Changed opening 2009/10 reserves to agree with 2008/09 Final Accounts</t>
  </si>
  <si>
    <t>Checked last year actual to resolve rounding's / problems on corporate management.  Now agrees to accounts.</t>
  </si>
  <si>
    <t>Changes made to Establishment</t>
  </si>
  <si>
    <t>P Mullins (possible increase to SCP range 32-34 as a result of possible job evaluation) CONFIDENTIAL - PLEASE DON'T REFER TO THIS ANYWHERE IN ESTIMATES</t>
  </si>
  <si>
    <t>C Rugeroni / P Griffin / J Hollings all now budgeted to be at top of the SCP range</t>
  </si>
  <si>
    <t>S Newman now budgeted to at SCP 45, in case he does all of his qualifications!</t>
  </si>
  <si>
    <t>Changed Market Income to 72286 (09/10 Revised) / £70214 (10/11)</t>
  </si>
  <si>
    <t>Removed Grass Cutting Admin Fee</t>
  </si>
  <si>
    <t>Changed Tax Base to 7059</t>
  </si>
  <si>
    <t>Changes still to be made</t>
  </si>
  <si>
    <t>Need to review overtime on Buildings</t>
  </si>
  <si>
    <t>Need to ensure that all total lines are totals and not paste special values</t>
  </si>
  <si>
    <t>Need to review pensions / ni revised contributions</t>
  </si>
  <si>
    <t>Need to check 10/11 formulae - sub total lines still need to be based on individual lines</t>
  </si>
  <si>
    <t>Reserve amounts not to be increased by inflation</t>
  </si>
  <si>
    <t>Check Comments are needed</t>
  </si>
  <si>
    <r>
      <t xml:space="preserve">Change </t>
    </r>
    <r>
      <rPr>
        <i/>
        <sz val="10"/>
        <rFont val="Times New Roman"/>
        <family val="1"/>
      </rPr>
      <t>Room Hire</t>
    </r>
    <r>
      <rPr>
        <sz val="10"/>
        <rFont val="Times New Roman"/>
        <family val="1"/>
      </rPr>
      <t xml:space="preserve"> Income (B&amp;CA) to £74000 - will then be increased further by whatever we go with for inflationary increase (Requested by DH/SN)</t>
    </r>
  </si>
  <si>
    <r>
      <t xml:space="preserve">Change </t>
    </r>
    <r>
      <rPr>
        <i/>
        <sz val="10"/>
        <rFont val="Times New Roman"/>
        <family val="1"/>
      </rPr>
      <t>Maumbury rings Youth Event</t>
    </r>
    <r>
      <rPr>
        <sz val="10"/>
        <rFont val="Times New Roman"/>
        <family val="1"/>
      </rPr>
      <t xml:space="preserve"> to £5000 for 10/11 (requested by DH/SN)</t>
    </r>
  </si>
  <si>
    <r>
      <t xml:space="preserve">Change </t>
    </r>
    <r>
      <rPr>
        <i/>
        <sz val="10"/>
        <rFont val="Times New Roman"/>
        <family val="1"/>
      </rPr>
      <t>Rifles Regiment</t>
    </r>
    <r>
      <rPr>
        <sz val="10"/>
        <rFont val="Times New Roman"/>
        <family val="1"/>
      </rPr>
      <t xml:space="preserve"> (B&amp;CA) to £4000 for 10/11 (as per discussion with SC)</t>
    </r>
  </si>
  <si>
    <r>
      <t xml:space="preserve">Change </t>
    </r>
    <r>
      <rPr>
        <i/>
        <sz val="10"/>
        <rFont val="Times New Roman"/>
        <family val="1"/>
      </rPr>
      <t xml:space="preserve">Events Marketing / Promotion </t>
    </r>
    <r>
      <rPr>
        <sz val="10"/>
        <rFont val="Times New Roman"/>
        <family val="1"/>
      </rPr>
      <t>to £3900 for 10/11 (as per discussion with DH/SN)</t>
    </r>
  </si>
  <si>
    <r>
      <t xml:space="preserve">Change </t>
    </r>
    <r>
      <rPr>
        <i/>
        <sz val="10"/>
        <rFont val="Times New Roman"/>
        <family val="1"/>
      </rPr>
      <t>Equipment &amp; Facilities for IT</t>
    </r>
    <r>
      <rPr>
        <sz val="10"/>
        <rFont val="Times New Roman"/>
        <family val="1"/>
      </rPr>
      <t xml:space="preserve"> to £2000 for 10/11 (as per discussion with DH/SN)</t>
    </r>
  </si>
  <si>
    <r>
      <t xml:space="preserve">Add </t>
    </r>
    <r>
      <rPr>
        <i/>
        <sz val="10"/>
        <rFont val="Times New Roman"/>
        <family val="1"/>
      </rPr>
      <t>Loudsmill Car Park Resurfacing</t>
    </r>
    <r>
      <rPr>
        <sz val="10"/>
        <rFont val="Times New Roman"/>
        <family val="1"/>
      </rPr>
      <t xml:space="preserve"> (PGOS £6000) for 10/11 (as per discussion with DH/SN)</t>
    </r>
  </si>
  <si>
    <r>
      <t xml:space="preserve">Add </t>
    </r>
    <r>
      <rPr>
        <i/>
        <sz val="10"/>
        <rFont val="Times New Roman"/>
        <family val="1"/>
      </rPr>
      <t xml:space="preserve">Fire Training </t>
    </r>
    <r>
      <rPr>
        <sz val="10"/>
        <rFont val="Times New Roman"/>
        <family val="1"/>
      </rPr>
      <t>(Corporate Management) £1200 for 10/11 (as per discussion with DH/SN)</t>
    </r>
  </si>
  <si>
    <r>
      <t xml:space="preserve">Add </t>
    </r>
    <r>
      <rPr>
        <i/>
        <sz val="10"/>
        <rFont val="Times New Roman"/>
        <family val="1"/>
      </rPr>
      <t xml:space="preserve">CRB Checks </t>
    </r>
    <r>
      <rPr>
        <sz val="10"/>
        <rFont val="Times New Roman"/>
        <family val="1"/>
      </rPr>
      <t>(Corporate Management) £2000 for 10/11 &amp; 11/12, £200 for 12/13, 13/14, &amp; 14/15, £2500 for 15/16</t>
    </r>
  </si>
  <si>
    <t>Need to remove Grass Cutting Expenditure &amp; Income from PGOS for 10/11</t>
  </si>
  <si>
    <t>Need to check precept calculations following change in Tax Base</t>
  </si>
  <si>
    <t>Admin recharge needs to be calculated based on estimates as opposed to being increase by percentage.</t>
  </si>
  <si>
    <t>Need to amend insurance - see insurance Tab for amounts</t>
  </si>
  <si>
    <t>Paul to look at Reserves / MRP/ New Reserve Transfers</t>
  </si>
  <si>
    <t>2024/25</t>
  </si>
  <si>
    <t>2025/26</t>
  </si>
  <si>
    <t>Actual</t>
  </si>
  <si>
    <t>Budget</t>
  </si>
  <si>
    <t>£</t>
  </si>
  <si>
    <t>Parks &amp; Open Spaces</t>
  </si>
  <si>
    <t>Allotments</t>
  </si>
  <si>
    <t>Municipal Buildings</t>
  </si>
  <si>
    <t>Cemeteries</t>
  </si>
  <si>
    <t>Cultural &amp; Twinning Activities</t>
  </si>
  <si>
    <t>Corporate &amp; Democratic</t>
  </si>
  <si>
    <t>Other Services</t>
  </si>
  <si>
    <t>Operational Budget</t>
  </si>
  <si>
    <t>Precept</t>
  </si>
  <si>
    <t>Transfer to General Reserves</t>
  </si>
  <si>
    <t>Subjective Analysis of Revenue Budget</t>
  </si>
  <si>
    <t>Employees</t>
  </si>
  <si>
    <t>External Payments</t>
  </si>
  <si>
    <t xml:space="preserve">Transfers to Earmarked </t>
  </si>
  <si>
    <t>Capital Financing Costs</t>
  </si>
  <si>
    <t>Income</t>
  </si>
  <si>
    <t>Transfer from Earmarked</t>
  </si>
  <si>
    <t>General Reserve</t>
  </si>
  <si>
    <t xml:space="preserve">Opening Balance at 1 April </t>
  </si>
  <si>
    <t>Transfer from Ops Budget</t>
  </si>
  <si>
    <t>To Corporate Projects Reserve</t>
  </si>
  <si>
    <t>Closing Balance at 31 March</t>
  </si>
  <si>
    <t>Earmarked Reserves</t>
  </si>
  <si>
    <t xml:space="preserve">Transfer from Revenue </t>
  </si>
  <si>
    <t>Other Income &amp; Transfers</t>
  </si>
  <si>
    <t>Expenditure from Reserves</t>
  </si>
  <si>
    <t xml:space="preserve">Closing Balance 31 March </t>
  </si>
  <si>
    <t>All Reserves held at year end</t>
  </si>
  <si>
    <t>Tax Base</t>
  </si>
  <si>
    <t>Band D Charge                                                         £</t>
  </si>
  <si>
    <t>O/s PWLB Debt at 31 March             £</t>
  </si>
  <si>
    <t>Dorchester Town Council</t>
  </si>
  <si>
    <t>Admin Recharge</t>
  </si>
  <si>
    <t>2010/11</t>
  </si>
  <si>
    <t>2011/12</t>
  </si>
  <si>
    <t>2012/13</t>
  </si>
  <si>
    <t>ACTUAL</t>
  </si>
  <si>
    <t>ORIGINAL</t>
  </si>
  <si>
    <t>REVISED</t>
  </si>
  <si>
    <t>ESTIMATE</t>
  </si>
  <si>
    <t>Employee Costs / Travel &amp; Subsistence</t>
  </si>
  <si>
    <t>Set</t>
  </si>
  <si>
    <t>18900199</t>
  </si>
  <si>
    <t>28900199</t>
  </si>
  <si>
    <t>Buildings &amp; cultural Activities</t>
  </si>
  <si>
    <t>38900199</t>
  </si>
  <si>
    <t>Parks, Gardens &amp; Open Spaces</t>
  </si>
  <si>
    <t>48900104</t>
  </si>
  <si>
    <t>Democratic Representation</t>
  </si>
  <si>
    <t>48900199</t>
  </si>
  <si>
    <t>Corporate Management</t>
  </si>
  <si>
    <t>58900199</t>
  </si>
  <si>
    <t>Twinning</t>
  </si>
  <si>
    <t>68900199</t>
  </si>
  <si>
    <t>Planning</t>
  </si>
  <si>
    <t>Other Costs</t>
  </si>
  <si>
    <t>18900299</t>
  </si>
  <si>
    <t>28900299</t>
  </si>
  <si>
    <t>38900299</t>
  </si>
  <si>
    <t>48900204</t>
  </si>
  <si>
    <t>48900299</t>
  </si>
  <si>
    <t>DORCHESTER TOWN COUNCIL</t>
  </si>
  <si>
    <t>PROJECT BUDGET SUMMARY 2011/12 and 2012/13</t>
  </si>
  <si>
    <t xml:space="preserve">PROJECT BUDGET SUMMARY 2011/12 </t>
  </si>
  <si>
    <t>2011/2012</t>
  </si>
  <si>
    <t>PROJECT</t>
  </si>
  <si>
    <t>RESERVE PROVIDING FUNDING</t>
  </si>
  <si>
    <t>AMOUNT</t>
  </si>
  <si>
    <t>FUNDED FROM SPECIFIC RESERVE</t>
  </si>
  <si>
    <t>FUNDED FROM GENERAL RESERVE</t>
  </si>
  <si>
    <t>EXTERNAL FUNDING</t>
  </si>
  <si>
    <t>PARKS, GARDENS &amp; OPEN SPACES</t>
  </si>
  <si>
    <t>Trampoline</t>
  </si>
  <si>
    <t>Play Equipment Reserve</t>
  </si>
  <si>
    <t>Fitness Equipment for Great Field</t>
  </si>
  <si>
    <t>Play Equipment for Great Field</t>
  </si>
  <si>
    <t xml:space="preserve">Play Equipment </t>
  </si>
  <si>
    <t>Gates for Sandringham Bowls Club</t>
  </si>
  <si>
    <t>Parks Premises Repairs &amp; Renewals</t>
  </si>
  <si>
    <t>Pedestrian Sweeper</t>
  </si>
  <si>
    <t>Parks Equipment Repairs &amp; Renewals</t>
  </si>
  <si>
    <t>Winter Maintenance Equipment</t>
  </si>
  <si>
    <t>Automatic Radar Door Entry System</t>
  </si>
  <si>
    <t>Underlay</t>
  </si>
  <si>
    <t>CHECK</t>
  </si>
  <si>
    <t>Bollards for Dorset Martyrs Memorial</t>
  </si>
  <si>
    <t xml:space="preserve">TOTAL </t>
  </si>
  <si>
    <t>PRIOR YEAR ADJUSTMENT</t>
  </si>
  <si>
    <t>Corn Exchange Works</t>
  </si>
  <si>
    <t>Municipal Buildings Repairs &amp; Renewals</t>
  </si>
  <si>
    <t>Municipal Building Car Park Gates</t>
  </si>
  <si>
    <t>Corn Exchange Lighting Rig</t>
  </si>
  <si>
    <t>Arts Festival</t>
  </si>
  <si>
    <t>Arts Festival Reserve</t>
  </si>
  <si>
    <t>BUILDINGS &amp; CULTURAL ACTIVITIES</t>
  </si>
  <si>
    <t>CEMETERIES</t>
  </si>
  <si>
    <t>Works to Cemetery Chapel</t>
  </si>
  <si>
    <t>Cemetery Building Repairs Reserve</t>
  </si>
  <si>
    <t>CORPORATE MANAGEMENT</t>
  </si>
  <si>
    <t>Christmas Lighting</t>
  </si>
  <si>
    <t>Christmas Lighting Reserve</t>
  </si>
  <si>
    <t>TOTAL AMOUNT/CONTRIBUTION FROM RESERVE 2011/2012</t>
  </si>
  <si>
    <t>PROJECT BUDGET SUMMARY 2012/13</t>
  </si>
  <si>
    <t>2013/2014</t>
  </si>
  <si>
    <t>Dorchester Arts Festival</t>
  </si>
  <si>
    <t>External Repairs to stonework of Municipal buildings</t>
  </si>
  <si>
    <t>Ride-On Mower</t>
  </si>
  <si>
    <t>Parks Equipment</t>
  </si>
  <si>
    <t>TOTAL AMOUNT / CONTRIBUTION FROM RESERVE 2013/2014</t>
  </si>
  <si>
    <t>External</t>
  </si>
  <si>
    <t>Expenditure</t>
  </si>
  <si>
    <t xml:space="preserve">2.5% increase on everything </t>
  </si>
  <si>
    <t>Except Rent - Duchy - per SN keep constant till next review March 2012</t>
  </si>
  <si>
    <t xml:space="preserve">Up by 3% </t>
  </si>
  <si>
    <t>Except for Wayleave which never goes up</t>
  </si>
  <si>
    <t>Parks, Gardens and Open Spaces</t>
  </si>
  <si>
    <t>Employee related expenditure - sals/NI/training courses/trav and subs,</t>
  </si>
  <si>
    <t>protective clothing, are based on establishment</t>
  </si>
  <si>
    <t>Superannuation is base on expenditure to date and pro rated for the year</t>
  </si>
  <si>
    <t>Everything else on expenditure has gone up for 1011, by 2.5% except for:-</t>
  </si>
  <si>
    <t xml:space="preserve">Maintain Highway Trees - DCC taken ownership paying - paying </t>
  </si>
  <si>
    <t>1/3 share</t>
  </si>
  <si>
    <t>Loudsmill Car Park - £6000 added 1011</t>
  </si>
  <si>
    <t xml:space="preserve">Recharge outside organisations - taken out grass cutting and income </t>
  </si>
  <si>
    <t>for 1011 per DH - see exp and income lines</t>
  </si>
  <si>
    <t>Duchy Rent constant</t>
  </si>
  <si>
    <t>Up by 3%, except:</t>
  </si>
  <si>
    <t>Taken out Contribution Tree Partnership from 0910 Revised onwards</t>
  </si>
  <si>
    <t>DCC taking over partnership - not going to get this anymore</t>
  </si>
  <si>
    <t xml:space="preserve">Recharge outside organisations - As expenditure above - taken </t>
  </si>
  <si>
    <t>out grass cutting</t>
  </si>
  <si>
    <t>Admin Recharge - calculated based on Estimates</t>
  </si>
  <si>
    <t>Buildings and Cultural Activities</t>
  </si>
  <si>
    <t>Expenditure - Buildings</t>
  </si>
  <si>
    <t>Employee related expenditure based on Establishment</t>
  </si>
  <si>
    <t>Everything else increase by 2.5% for 1011</t>
  </si>
  <si>
    <t>Added Corn Lift Exchange</t>
  </si>
  <si>
    <t>Income - Buildings</t>
  </si>
  <si>
    <t>Increase by3% except bar franchise</t>
  </si>
  <si>
    <t>Expenditure - Cultural Activities</t>
  </si>
  <si>
    <t xml:space="preserve">Everything up by 2.5% but - </t>
  </si>
  <si>
    <t>Events Mktg and Promotion 1011 is put at £3900 per DH/SN</t>
  </si>
  <si>
    <t>Added budget line for Dorchester Festival - was originally a transfer to reserve</t>
  </si>
  <si>
    <t xml:space="preserve"> - as it is an annual event, will no longer go to reserves</t>
  </si>
  <si>
    <t>Rifles regiment return  - £4000 in 1011 per Sue</t>
  </si>
  <si>
    <t>Maumbury Rings Youth event 1011 changed to £5000 per SN</t>
  </si>
  <si>
    <t>Income - Cultural Acitivities</t>
  </si>
  <si>
    <t>No Income</t>
  </si>
  <si>
    <t>Everything up by 2.5% except</t>
  </si>
  <si>
    <t xml:space="preserve">Provision on employment law and H&amp;S services revised 0910 </t>
  </si>
  <si>
    <t>and 1011 per Committee</t>
  </si>
  <si>
    <t>Added budget for 'Fire Training' in 1011 per DH/SN</t>
  </si>
  <si>
    <t>Added budget line for CRb checks 1011 per DH/SN</t>
  </si>
  <si>
    <t xml:space="preserve">Transfer to Sunday Market Reserve is difference between </t>
  </si>
  <si>
    <t>Sunday Market Income and S137distributions</t>
  </si>
  <si>
    <t>Bad Debt provision up by 3%</t>
  </si>
  <si>
    <t xml:space="preserve">Market Share of Surplus and Sunday Market income - based on Market </t>
  </si>
  <si>
    <t>Estimates</t>
  </si>
  <si>
    <t>Admin fees up by 2.5%</t>
  </si>
  <si>
    <t>Demo Rep</t>
  </si>
  <si>
    <t>0910 revised members allowance 4870 x 20% x 20 members</t>
  </si>
  <si>
    <t>1011 is 2.5% on 0910 revised</t>
  </si>
  <si>
    <t>Transfer to reserves not changed</t>
  </si>
  <si>
    <t>Admin</t>
  </si>
  <si>
    <t>Employee related expenditure - this is per Establishment</t>
  </si>
  <si>
    <t>Added budget line for Equipment facilities for I.T</t>
  </si>
  <si>
    <t>£2000 per DH and SN</t>
  </si>
  <si>
    <t>Reserves stay the same</t>
  </si>
  <si>
    <t>Special Item Twinning Anniversary/Football Tournament - per sue</t>
  </si>
  <si>
    <t>added £2000 in 1011 estimate</t>
  </si>
  <si>
    <t>Software is same for 1011</t>
  </si>
  <si>
    <t>Purchase of grit bins for 1011 is 200 per DH email</t>
  </si>
  <si>
    <t>Changes per Meeting with Dennis and Steve on 21/12/09</t>
  </si>
  <si>
    <t>Salaries - 0910 Revised needs to be reduced if 1011 is being reduced</t>
  </si>
  <si>
    <t>Buildings &amp; Cultural Events</t>
  </si>
  <si>
    <t>Salaries - Increase 0910 Revised Estimates figure as 1011 figures increased</t>
  </si>
  <si>
    <t>Bar Franchise - '-' omitted in error - change it</t>
  </si>
  <si>
    <t>700 Year Anniversary DTC - 895 spend in 0809 - what is this? Per sage - Spend on Roman Festival (event) - check with Sn whether this event happened in 0809, if so, put as 'Roman Festival' not '700…'</t>
  </si>
  <si>
    <t xml:space="preserve"> - spoke to SN - he said we should have received a grant towards it so it should not be showing as exp - but, looked at code 27910599 on sage where Roman Festival is, and it shows 8750 grant come in, but they've spent more than the grant amount</t>
  </si>
  <si>
    <t>so, per Paul, leave it in as spend</t>
  </si>
  <si>
    <t xml:space="preserve">Corporate Management </t>
  </si>
  <si>
    <t>Accountancy Fees 1011 will go up by 1%</t>
  </si>
  <si>
    <t xml:space="preserve">LGA Fee - get rid of 2500 revised </t>
  </si>
  <si>
    <t>Contribution Town Centre Promotion - bring revised estimate down to whatever we've spent now, and take out of 1011 - on sage, no spend for Contrib Town Ctr Promotion, so put revised to 0 and 1011 to 0 too.</t>
  </si>
  <si>
    <t>Income - Sunday Market Income - 10500 - Need another amount in here - separate the 2 under S137 - DTC Grants</t>
  </si>
  <si>
    <t xml:space="preserve">                                                                                                                                                                                                         - MARKETS ONES (Decided by the panel)                           </t>
  </si>
  <si>
    <t>as only showing Sunday Market Income</t>
  </si>
  <si>
    <t>Why is 'Capital Expenditure charged in year to Revenue' showing in Income side? - do we call this accounting adjustment?</t>
  </si>
  <si>
    <t>Members Allowances - revised 19120 - Cllr V Black only taking half of her allowance (around £490) reduce only for this year, not next year - take full allowance next year</t>
  </si>
  <si>
    <t>Salaries 0910 rev</t>
  </si>
  <si>
    <t>Insurance - from Insurance tab</t>
  </si>
  <si>
    <t>Join Franking Machine and Office Equipment</t>
  </si>
  <si>
    <t>Legal Fees Revised 0910 £3075. Leave 1011 as it is. Currently (according to Oct Man Rep) £5k spend on this - find out where £5k spent on Legal fees</t>
  </si>
  <si>
    <t>Prov in PGOS - this might need to go up</t>
  </si>
  <si>
    <t>Refund from EON - does this include VAT?</t>
  </si>
  <si>
    <t>Bayeux visit - get rid of 1011 £6150 - don't need this in 1011</t>
  </si>
  <si>
    <t>Purchase of grit bins - 200 1011 - roll it over to next year as it looks like not spending - if not spent at year end, move to earmarked reserve</t>
  </si>
  <si>
    <t>Millstream Contribution - Next year will be the last year for Millstream (1011)</t>
  </si>
  <si>
    <t>Reconciliation of Cash to Reserves</t>
  </si>
  <si>
    <t>Cash</t>
  </si>
  <si>
    <t>Reserves</t>
  </si>
  <si>
    <t>Difference</t>
  </si>
  <si>
    <t>DTC Position as at 1 April 2011</t>
  </si>
  <si>
    <t>Add impact re Joint Burial Committee</t>
  </si>
  <si>
    <t>Add s106 re Maumbury Rings</t>
  </si>
  <si>
    <t>Items which must go through General Fund</t>
  </si>
  <si>
    <t>Loan Repayment from 2005/06</t>
  </si>
  <si>
    <t>Depreciation from 2006/07</t>
  </si>
  <si>
    <t>Items to be funded from General Fund</t>
  </si>
  <si>
    <t>Internal Borrowing in excess of loan sanction</t>
  </si>
  <si>
    <t>Internal Borrowing to be Financed by loan / reserves</t>
  </si>
  <si>
    <t>Exact split not confirmed but as an example:</t>
  </si>
  <si>
    <t xml:space="preserve">   Loan</t>
  </si>
  <si>
    <t xml:space="preserve">   Reduction in Reserves</t>
  </si>
  <si>
    <t>Reconciliation of DTC and Cemeteries Reserves and Cash at 1 April 2011</t>
  </si>
  <si>
    <t>10/11</t>
  </si>
  <si>
    <t>DTC Earmarked Reserves as at 1 April 2011</t>
  </si>
  <si>
    <t>Cemeteries Earmarked Reserves as at 1 April 2011</t>
  </si>
  <si>
    <t>Add Reserves we are holding money on behalf of a third party:</t>
  </si>
  <si>
    <t xml:space="preserve">     Holmead Walk Play Area Maintenance</t>
  </si>
  <si>
    <t xml:space="preserve">     Sunday Markets</t>
  </si>
  <si>
    <t>Adjusted Earmarked Reserves as at 1 April 2011</t>
  </si>
  <si>
    <t>DTC and Cemeteries General Fund Balance as at 1 April 2011</t>
  </si>
  <si>
    <t>Surplus Cash re s106 Maumbury Rings</t>
  </si>
  <si>
    <t>DTC and Cemeteries Cash Balance adjusted for Debtors and Creditors</t>
  </si>
  <si>
    <t>dtc and cemeteries</t>
  </si>
  <si>
    <t>Internal Borrowing to be financed by loan/reserves</t>
  </si>
  <si>
    <t>Difference (Roundings)</t>
  </si>
  <si>
    <t>Items bought in 2011/12 - Funded from reserves or not?</t>
  </si>
  <si>
    <t>Sage code</t>
  </si>
  <si>
    <t>Sage Name</t>
  </si>
  <si>
    <t>Area</t>
  </si>
  <si>
    <t>Description</t>
  </si>
  <si>
    <t>Amount</t>
  </si>
  <si>
    <t>Date of payment</t>
  </si>
  <si>
    <t>Payee</t>
  </si>
  <si>
    <t>Funding</t>
  </si>
  <si>
    <t>Reserves (Yes/No)</t>
  </si>
  <si>
    <t>If Reserve Funded, which Reserve</t>
  </si>
  <si>
    <t>Not Reserves (i.e. General Fund) Yes/No</t>
  </si>
  <si>
    <t>Repairs and Renewals</t>
  </si>
  <si>
    <t>PGOS</t>
  </si>
  <si>
    <t>Huck Nets</t>
  </si>
  <si>
    <t>Salt Spreader</t>
  </si>
  <si>
    <t>Kilworth Machinery Ltd</t>
  </si>
  <si>
    <t>Albutt Snow Plough (Part of Winter Maintenance Equipment)</t>
  </si>
  <si>
    <t>Bredy Agricentre</t>
  </si>
  <si>
    <t>Not yet on Sage, but per Sept Policy Cttee minute 19, to spend £6500 in 11/12 on Winter maintenance Equipment</t>
  </si>
  <si>
    <t>Special Item</t>
  </si>
  <si>
    <t>Park Leisure Ltd</t>
  </si>
  <si>
    <t>Play Equipment</t>
  </si>
  <si>
    <t>Tools, Equipment and Consumables</t>
  </si>
  <si>
    <t>Automatic Radar Door entry System</t>
  </si>
  <si>
    <t>Equipment Servicing</t>
  </si>
  <si>
    <t>Cramer Pro5000 VAC Pedestrian Sweeper</t>
  </si>
  <si>
    <t>Mowers Repairs &amp; Maintenance</t>
  </si>
  <si>
    <t>Honda Mower Engine</t>
  </si>
  <si>
    <t>Greensward</t>
  </si>
  <si>
    <t>BCA</t>
  </si>
  <si>
    <t>Corn Exchange Lighting Rig (LED Multipar zoom/chauvet)</t>
  </si>
  <si>
    <t>Batmink Distribution</t>
  </si>
  <si>
    <t xml:space="preserve">Not yet incurred, but per Dennis, will incur spend on repairs for Municipal Building Car Park Gates - £2870 plus Vat </t>
  </si>
  <si>
    <t>Memo:</t>
  </si>
  <si>
    <t>Balance b/f on Reserves 01/04/11</t>
  </si>
  <si>
    <t>TO CONFIRM WITH DENNIS ON 21/12/11 MEETING</t>
  </si>
  <si>
    <t>Reserve</t>
  </si>
  <si>
    <t>Bal B/f 1st April '11</t>
  </si>
  <si>
    <t>Contribution to Reserve 11/12 per last years Reserves Analysis in Estimates</t>
  </si>
  <si>
    <t>Contribution from Reserve (per above, PROJECT BUDGETS)</t>
  </si>
  <si>
    <t>Bal C/f 31st March '12</t>
  </si>
  <si>
    <t>Municipal Buildings Refurbishment</t>
  </si>
  <si>
    <t>Municipal Buildings Repair &amp; Renewal</t>
  </si>
  <si>
    <t>Municipal Buildings Boiler Replacement</t>
  </si>
  <si>
    <t>Parks Equipment Repair &amp; Renewal</t>
  </si>
  <si>
    <t>Parks Premises Repair &amp; Renewal</t>
  </si>
  <si>
    <t>Seats &amp; Litter Bins Repair &amp; Renewal</t>
  </si>
  <si>
    <t>Depot repair reserve</t>
  </si>
  <si>
    <t>Depot loan repayment reserve</t>
  </si>
  <si>
    <t>Council Offices Repairs Reserve</t>
  </si>
  <si>
    <t>Civic Regalia Replacement Reserve</t>
  </si>
  <si>
    <t>Town Crier Uniform Reserve</t>
  </si>
  <si>
    <t>Holmead Walk Play Area Maintenance</t>
  </si>
  <si>
    <t>24/25</t>
  </si>
  <si>
    <t xml:space="preserve">Medium Term Financial Strategy </t>
  </si>
  <si>
    <t>25/26</t>
  </si>
  <si>
    <t>26/27</t>
  </si>
  <si>
    <t>Yoy %</t>
  </si>
  <si>
    <t>Revenue Budget</t>
  </si>
  <si>
    <t>£000</t>
  </si>
  <si>
    <t xml:space="preserve"> Change</t>
  </si>
  <si>
    <t>-</t>
  </si>
  <si>
    <t>Transfer from/to Operational Budget</t>
  </si>
  <si>
    <t>Transfer to Corporate Projects Reserve</t>
  </si>
  <si>
    <t>Transfers/Payments in to Reserves</t>
  </si>
  <si>
    <t>Payments/Transfers out from Reserves</t>
  </si>
  <si>
    <t>Corporate Project Unallocated at Year End</t>
  </si>
  <si>
    <t>Outstanding Debt at Year End           £k</t>
  </si>
  <si>
    <t>Council Tax                                         £k</t>
  </si>
  <si>
    <t>Notes</t>
  </si>
  <si>
    <t>Electricity</t>
  </si>
  <si>
    <t>Water</t>
  </si>
  <si>
    <t>Rent</t>
  </si>
  <si>
    <t>Rates</t>
  </si>
  <si>
    <t>Total Expenditure</t>
  </si>
  <si>
    <t>Tennis</t>
  </si>
  <si>
    <t>Football</t>
  </si>
  <si>
    <t>Subscriptions</t>
  </si>
  <si>
    <t>Salaries</t>
  </si>
  <si>
    <t>Training Courses</t>
  </si>
  <si>
    <t>Repairs &amp; Maintenance</t>
  </si>
  <si>
    <t>Telephone</t>
  </si>
  <si>
    <t>General Maintenance</t>
  </si>
  <si>
    <t>Christmas Lights</t>
  </si>
  <si>
    <t>Grants</t>
  </si>
  <si>
    <t>Advertising</t>
  </si>
  <si>
    <t>= Changed for Royal Wedding (as no specific Royal Wedding Code set up as yet)</t>
  </si>
  <si>
    <t>= Added line in for 'Adjustments' tab</t>
  </si>
  <si>
    <t>N/C</t>
  </si>
  <si>
    <t>Name</t>
  </si>
  <si>
    <t>Debit</t>
  </si>
  <si>
    <t>Credit</t>
  </si>
  <si>
    <t>ADJU</t>
  </si>
  <si>
    <t>Total</t>
  </si>
  <si>
    <t>Statement</t>
  </si>
  <si>
    <t>I&amp;E / BS Heading</t>
  </si>
  <si>
    <t>I&amp;E Note 1.1 Heading</t>
  </si>
  <si>
    <t>Management Report Heading</t>
  </si>
  <si>
    <t>ALLOTMENT RENTAL-ST.GEORGES RD</t>
  </si>
  <si>
    <t>ALLOTMENT RENTAL-LOUDS MILL</t>
  </si>
  <si>
    <t>ALLOTMENT RENTAL-FROME TERRACE</t>
  </si>
  <si>
    <t>ALLOTMENT RENTAL-HERRINGSTON</t>
  </si>
  <si>
    <t>WATER ALINGTON ROAD</t>
  </si>
  <si>
    <t>WATER ST. GEORGES ROAD</t>
  </si>
  <si>
    <t>WATER HERRINGSTON ROAD</t>
  </si>
  <si>
    <t>RENT-ALINGTON AVE ALLOTMENTS</t>
  </si>
  <si>
    <t>RENT-ST GEORGES ROAD ALLOTMENT</t>
  </si>
  <si>
    <t>RENT-HERRINGSTON RD ALLOTMENTS</t>
  </si>
  <si>
    <t>HG53 SWN - NEW TRANSIT</t>
  </si>
  <si>
    <t>MITSUBISHI - DN05 WWU - FUEL</t>
  </si>
  <si>
    <t>MITSUBISHI - DN05 WWU - REPAIRS &amp; MAINTENANCE</t>
  </si>
  <si>
    <t>MITSUBISHI - DN05 WWU - TAX/INSURANCE</t>
  </si>
  <si>
    <t>JOHN DEERE HF07 HXV TRACTOR MOTOR FUEL</t>
  </si>
  <si>
    <t>JOHN DEERE HF07 HXV TRACTOR REPAIRS &amp; MAINT</t>
  </si>
  <si>
    <t>HF07 HXV TRACTOR - MOTOR FUEL</t>
  </si>
  <si>
    <t>PIAGGIO TIPPER - HF07 FXE - MOTOR FUEL</t>
  </si>
  <si>
    <t>PIAGGIO TIPPER HF07 FXE - TAX, INSURANCE</t>
  </si>
  <si>
    <t>T236 BBN VAUXHALL BRAVA - MOTOR FUEL</t>
  </si>
  <si>
    <t>T236 BBN - REPAIRS AND MAINTENANCE</t>
  </si>
  <si>
    <t>T236 BBN VAUXHALL BRAVA - TAX, INSURANCE</t>
  </si>
  <si>
    <t>GENMAINT-OTHER-ALINGTON AVE</t>
  </si>
  <si>
    <t>GEN MAINT HERRINGSTON ROAD</t>
  </si>
  <si>
    <t>PEST CONTROL - OTHER</t>
  </si>
  <si>
    <t>HIRE-CORN EXCHANGE</t>
  </si>
  <si>
    <t>HIRE-TOWN HALL</t>
  </si>
  <si>
    <t>HIRE-MAGISTRATES ROOM</t>
  </si>
  <si>
    <t>HIRE-COUNCIL CHAMBER</t>
  </si>
  <si>
    <t>HIRE-DRESSING ROOMS</t>
  </si>
  <si>
    <t>Weddings Town Hall</t>
  </si>
  <si>
    <t>Weddings Council Chamber</t>
  </si>
  <si>
    <t>BAR FRANCHISE</t>
  </si>
  <si>
    <t>OUTSIDE CONTRACT/SALE - CORN EXCHANGE</t>
  </si>
  <si>
    <t>SALARIES</t>
  </si>
  <si>
    <t>EMPLOYERS NI</t>
  </si>
  <si>
    <t>EMPLOYERS SUPERANNUATION</t>
  </si>
  <si>
    <t>TRAINING COURSES - CARETAKERS</t>
  </si>
  <si>
    <t>PROTECTIVE CLOTHING</t>
  </si>
  <si>
    <t>GAS-MUNICIPAL BUILDINGS</t>
  </si>
  <si>
    <t>ELECTRIC-MUNICIPAL BUILDINGS</t>
  </si>
  <si>
    <t>RATES-MUNICIPAL BUILDINGS</t>
  </si>
  <si>
    <t>TELEPHONE-CORN EXCHANGE</t>
  </si>
  <si>
    <t>TELEPHONE-MUNICIPAL BUILDINGS</t>
  </si>
  <si>
    <t>CLEANING - CORN EXCHANGE</t>
  </si>
  <si>
    <t>CLEANING-C/E KITCHEN</t>
  </si>
  <si>
    <t>CLEANING-WAGES,MATS &amp; EQUIP</t>
  </si>
  <si>
    <t>GEN MAINT CORN EXCHANGE</t>
  </si>
  <si>
    <t>GEN MAINT TOWN HALL CLOCK</t>
  </si>
  <si>
    <t>GENERAL MAINTENANCE - PREMISES - BAR</t>
  </si>
  <si>
    <t>GEN MAINT-PREMISES</t>
  </si>
  <si>
    <t>GEN MAINT-MICRO LIFT</t>
  </si>
  <si>
    <t>GEN MAINT-FIRE EQUIP-M/B</t>
  </si>
  <si>
    <t>GEN MAINT OTHER CORN EXCHANGE</t>
  </si>
  <si>
    <t>GENERAL MAINTENANCE - OTHER - C/E KITCHEN</t>
  </si>
  <si>
    <t>GEN MAINT - OTHER - TOWN HALL</t>
  </si>
  <si>
    <t>GENERAL MAINTENANCE - M/B FOYER/STAIRS</t>
  </si>
  <si>
    <t>GEN MAINT-OTHER</t>
  </si>
  <si>
    <t>MF TRACTOR MOTOR FUEL</t>
  </si>
  <si>
    <t>MF TRACTOR REPAIRS &amp; MAINT</t>
  </si>
  <si>
    <t>MF TRACTOR TAX,INSURANCE</t>
  </si>
  <si>
    <t>PIAGGION TIPPER HF07 FXE - MOTOR FUEL</t>
  </si>
  <si>
    <t>GENERAL MAINTENANCE-OTHER-CORN EXCHANGE</t>
  </si>
  <si>
    <t>OUTSIDE CONTRACTS - BUILDINGS</t>
  </si>
  <si>
    <t>TOOLS,EQUIPMENT &amp; CONSUMABLES</t>
  </si>
  <si>
    <t>TOOLS EQUIP &amp; CONS M/B</t>
  </si>
  <si>
    <t>HEALTH &amp; SAFETY - CORN EXCHANGE</t>
  </si>
  <si>
    <t>Performance Rights Income</t>
  </si>
  <si>
    <t>PERFORMING RIGHTS</t>
  </si>
  <si>
    <t>CIVIC REGALIA &amp; EQUIPMENT</t>
  </si>
  <si>
    <t>CULTURAL EVENTS</t>
  </si>
  <si>
    <t>DORCHESTER FESTIVAL</t>
  </si>
  <si>
    <t>BOROUGH GARDENS EVENTS</t>
  </si>
  <si>
    <t>MAUMBURY-SPONSORED ENTERTAINMENT</t>
  </si>
  <si>
    <t>ADVERTISING</t>
  </si>
  <si>
    <t>CAPITAL WORKS - CORN EXCHANGE LIFT</t>
  </si>
  <si>
    <t>TENNIS BOROUGH GARDENS</t>
  </si>
  <si>
    <t>BOWLS-BOROUGH GARDENS</t>
  </si>
  <si>
    <t>PUTTING GREEN-BOROUGH GARDENS</t>
  </si>
  <si>
    <t>FOOTBALL-SANDRINGHAM SPORTS - SENIOR</t>
  </si>
  <si>
    <t>FOOTBALL-WEYMOUTH AVENUE - SENIOR</t>
  </si>
  <si>
    <t>FOOTBALL-KINGS ROAD</t>
  </si>
  <si>
    <t>FOOTBALL-SANDRINGHAM SPORTS - JUNIOR</t>
  </si>
  <si>
    <t>FOOTBALL-WEYMOUTH AVENUE - JUNIOR</t>
  </si>
  <si>
    <t>FOOTBALL-WEYMOUTH AVENUE - MINI</t>
  </si>
  <si>
    <t>FOOTBALL-HARDYS PITCH - MINI 1</t>
  </si>
  <si>
    <t>FOOTBALL HARDYS PITCH - MINI 2</t>
  </si>
  <si>
    <t>CRICKET-WEYMOUTH AVENUE</t>
  </si>
  <si>
    <t>BG Flat Rental Income</t>
  </si>
  <si>
    <t>HIRE-BOROUGH GARDENS CLUBROOM</t>
  </si>
  <si>
    <t>HIRE - WEYMOUTH AVENUE PAVILION</t>
  </si>
  <si>
    <t>WATERING OF HANGING BASKETS</t>
  </si>
  <si>
    <t>TELEPHONE BOROUGH GARDENS</t>
  </si>
  <si>
    <t>TELPHONE - WEYMOUTH AVENUE</t>
  </si>
  <si>
    <t>TELEPHONE INCOME - LOUDS MILL DEPOT</t>
  </si>
  <si>
    <t>WAYLEAVE - BOWLING ALLEY WALK</t>
  </si>
  <si>
    <t>GRASS CUTTING</t>
  </si>
  <si>
    <t>RECHARGE - OUTSIDE CONTRACTS/SERVICES</t>
  </si>
  <si>
    <t>SALE OF SCRAP</t>
  </si>
  <si>
    <t>SUNDRY INCOME</t>
  </si>
  <si>
    <t>TRAVELLING &amp; SUB - GARDENS</t>
  </si>
  <si>
    <t>TRAINING COURSES-OUTDOOR STAFF</t>
  </si>
  <si>
    <t>GAS SANDRINGHAM</t>
  </si>
  <si>
    <t>GAS - WEY AVE PAVILION</t>
  </si>
  <si>
    <t>ELECTRICITY - BOROUGH GARDENS COMMUNITY ROOM</t>
  </si>
  <si>
    <t>ELECTRICITY B GARDENS</t>
  </si>
  <si>
    <t>ELECTRICITY B GARDENS CLOCK</t>
  </si>
  <si>
    <t>ELECTRICITY B GARDENS BANDSTND</t>
  </si>
  <si>
    <t>ELECTRICITY B GARDENS FOUNTAIN</t>
  </si>
  <si>
    <t>ELECTRICITY SANDRINGHAM</t>
  </si>
  <si>
    <t>ELECTRICITY WEYMOUTH AVE PAV</t>
  </si>
  <si>
    <t>ELECTRICITY - LOUDS MILL DEPOT</t>
  </si>
  <si>
    <t>ELECTRICITY - OTHER</t>
  </si>
  <si>
    <t>WATER - BOROUGH GARDENS TOILETS</t>
  </si>
  <si>
    <t>WATER BOROUGH GARDENS</t>
  </si>
  <si>
    <t>WATER FOUNTAIN/PADDLING POOL</t>
  </si>
  <si>
    <t>WATER-SANDRINGHAM</t>
  </si>
  <si>
    <t>WATER WEYMOUTH AVE REC</t>
  </si>
  <si>
    <t>WATER - LOUDS MILL DEPOT</t>
  </si>
  <si>
    <t>WATER - OTHER</t>
  </si>
  <si>
    <t>RENT- WEYMOUTH AVE REC</t>
  </si>
  <si>
    <t>RENT-KINGS ROAD PLAYING FIELD</t>
  </si>
  <si>
    <t>RENT-MAUMBURY RINGS</t>
  </si>
  <si>
    <t>RENT-OLD SAWMILLS WEYMOUTH AVE</t>
  </si>
  <si>
    <t>RATES-BOROUGH GRDENS CLUBHOUSE</t>
  </si>
  <si>
    <t>RATES - LOUDS MILL DEPOT</t>
  </si>
  <si>
    <t>INSURANCE-PREMISES</t>
  </si>
  <si>
    <t>TELEPHONE - BOROUGH GARDENS KIOSK</t>
  </si>
  <si>
    <t>BOROUGH GARDENS - COMMUNITY ROOM - TELEPHONE</t>
  </si>
  <si>
    <t>BOROUGH GARDENS - GARDENER'S FACILITY BUILDING - TELEPHONE</t>
  </si>
  <si>
    <t>TELEPHONE-BOROUGH GARDENS</t>
  </si>
  <si>
    <t>TELEPHONE-SANDRINGHAM LEISURE</t>
  </si>
  <si>
    <t>TELEPHONE-WEYMOUTH AVE PAV</t>
  </si>
  <si>
    <t>PAYPHONE - LOUDS MILL DEPOT</t>
  </si>
  <si>
    <t>MOBILE PHONES - OUTSIDE SECTION</t>
  </si>
  <si>
    <t>CLEANING - WAGES,MATS &amp; EQUIP COMMUNITY ROOM BG</t>
  </si>
  <si>
    <t>CLEANING - WAGES, MATS &amp; EQUIP - MAUMBURY RINGS PAVILION</t>
  </si>
  <si>
    <t>GENERAL MAINTENANCE - PREMISES - B/G PUBLIC TOILETS</t>
  </si>
  <si>
    <t>CLEANING-WAGES,MATS&amp;EQUIP - GARDENER'S FACILITY BUILDING</t>
  </si>
  <si>
    <t>GEN MAINT PREMISES</t>
  </si>
  <si>
    <t>GENERAL MAINTENANCE - PREMISES - SANDRINGHAM</t>
  </si>
  <si>
    <t>GENERAL MAINTENANCE - PREMISES - MAUMBURY RINGS</t>
  </si>
  <si>
    <t>GENERAL MAINTENANCE - LOUDS MILL DEPOT</t>
  </si>
  <si>
    <t>GENERAL MAINTENANCE - SECURITY SYSTEM - B/G KIOSK</t>
  </si>
  <si>
    <t>GENERAL MAINTENANCE - SECURITY - BOROUGH GARDENS</t>
  </si>
  <si>
    <t>GANMAINT-SECURITY-SANDRINGHAM</t>
  </si>
  <si>
    <t>GENERAL MAINTENANCE - FIRE EQUIP - COMMUNITY ROOM</t>
  </si>
  <si>
    <t>GENMAINT-FIRE EQUIP-WEY AVEREC</t>
  </si>
  <si>
    <t>GENERAL MAINTENANCE - OTHER - BOROUGH GARDENS KIOSK</t>
  </si>
  <si>
    <t>GENERAL MAINTENANCE - BOROUGH GARDENS PUBLIC TOILETS</t>
  </si>
  <si>
    <t>GENERAL MAINTENANCE - OTHER - B/G COMMUNITY ROOM</t>
  </si>
  <si>
    <t>GENERAL MAINTENANCE - OTHER- SANDRINGHAM</t>
  </si>
  <si>
    <t>GENMAINT-OTHER-WEY AVE REC</t>
  </si>
  <si>
    <t>WEYMOUTH AVENUE REC PAVILION</t>
  </si>
  <si>
    <t>GENERAL MAINTENANCE - OTHER - MAUMBURY RINGS</t>
  </si>
  <si>
    <t>GENERAL MAINTENANCE - OTHER - LOUDS MILL DEPOT</t>
  </si>
  <si>
    <t>HG53 SWN- NEW TRANSIT</t>
  </si>
  <si>
    <t>KUBOTA TRACTOR H178 KJT FUEL</t>
  </si>
  <si>
    <t>KUBOTA TRACTOR-REPAIRS &amp; MAINT</t>
  </si>
  <si>
    <t>MOWERS MOTOR FUEL</t>
  </si>
  <si>
    <t>MOWERS REPAIRS &amp; MAINTENANCE</t>
  </si>
  <si>
    <t>EQUIPMENT SERVICING/SPARES</t>
  </si>
  <si>
    <t>PIAGGIO TIPPER HF07 FXE - FUEL</t>
  </si>
  <si>
    <t>T236 BBN VAUXHALL BRAVA - REPAIRS</t>
  </si>
  <si>
    <t>REPAIRS-PLAY EQUIP-B/GARDENS</t>
  </si>
  <si>
    <t>REPAIRS&amp;RENEWPLAY EQUIPKINGSRD</t>
  </si>
  <si>
    <t>REPAIRS-PLAY EQUIP-CASTLE PARK</t>
  </si>
  <si>
    <t>REPAIRS-PLAY EQUIP-WESSEX ROAD</t>
  </si>
  <si>
    <t>REPAIRS&amp;RENEWALS-PLAY EQUIPMENT-KINGS PARK</t>
  </si>
  <si>
    <t>REP &amp; RENEWAL-PLAYGROUND EQUIP</t>
  </si>
  <si>
    <t>PLAY AREA FENCING</t>
  </si>
  <si>
    <t>GENMAINT-FENCING-B/G</t>
  </si>
  <si>
    <t>GENERAL MAINTENANCE - FENCING - MELLSTOCK AVENUE</t>
  </si>
  <si>
    <t>GENERAL MAINTENANCE - FENCING</t>
  </si>
  <si>
    <t>GEN MAINTENANCE-HANGING BASKET</t>
  </si>
  <si>
    <t>GENMAINT-SEATS-BOROUGH GARDENS</t>
  </si>
  <si>
    <t>GENERAL MAINT-SEATS</t>
  </si>
  <si>
    <t>GENERAL MAINTENANCE - FLOWER BEDS - BOROUGH GARDENS</t>
  </si>
  <si>
    <t>GEN MAINT FLOWER BEDS B GARDEN</t>
  </si>
  <si>
    <t>GENERAL MAINTENANCE - TREES &amp; SHRUBS B/G</t>
  </si>
  <si>
    <t>GENERAL MAINTENANCE - TREES &amp; SHRUBS - KINGS ROAD</t>
  </si>
  <si>
    <t>GENERAL MAINTENANCE - TREES &amp; SHRUBS - SALISBURY FIELD</t>
  </si>
  <si>
    <t>GENERAL MAINTENANCE - TREES &amp; SHRUBS - WALKS</t>
  </si>
  <si>
    <t>GENERAL MAINTENANCE - TREES &amp; SHRUBS - KINGS PARK</t>
  </si>
  <si>
    <t>GENERAL MAINTENANCE - TREES &amp; SHRUBS - MAUMBURY RINGS</t>
  </si>
  <si>
    <t>GENERAL MAINTENANCE - TREES/SHRUBS - GABRIEL GREEN</t>
  </si>
  <si>
    <t>GEN MAINT GREENHOUSES BOR GDNS</t>
  </si>
  <si>
    <t>GENMAINT-MONUMENTS</t>
  </si>
  <si>
    <t>GENMAINT-PLAYEQUIP-GARDENS</t>
  </si>
  <si>
    <t>GENMAINT-PLAYEQUIP-SANDRINGHAM</t>
  </si>
  <si>
    <t>GENMAINT-PLAYEQUIPKINGSRD</t>
  </si>
  <si>
    <t>GENERAL MAINTENANCE - PLAY EQUIP - SALISBURY FIELD</t>
  </si>
  <si>
    <t>GENMAINT-PLAYEQUIP-EDWARD ROAD</t>
  </si>
  <si>
    <t>GEN MAINT-PLAY EQUIPMENT</t>
  </si>
  <si>
    <t>GENERAL MAINTENANCE - POOL/FOUNTAIN - B/G</t>
  </si>
  <si>
    <t>GEN MAINT B GARDENS FOUNTAIN</t>
  </si>
  <si>
    <t>GENERAL MAINTENANCE - LITTER BINS - SANDRINGHAM</t>
  </si>
  <si>
    <t>GEN MAINT LITTER BINS</t>
  </si>
  <si>
    <t>GEN MAINT B GARDENS</t>
  </si>
  <si>
    <t>GEN MAINT-SANDRINGHAM</t>
  </si>
  <si>
    <t>GENMAINT/WEY AVE REC</t>
  </si>
  <si>
    <t>GENERAL MAINTENANCE - OTHER - KINGS ROAD PLAYING FIELD</t>
  </si>
  <si>
    <t>GENERAL MAINTENANCE - OTHER - WOODLAND CRESCENT PLAY AREA</t>
  </si>
  <si>
    <t>WATER FEATURE - PRINCES STREET</t>
  </si>
  <si>
    <t>OUTSIDE CONTRACTS - GARDENS</t>
  </si>
  <si>
    <t>WALKS - SWEEPING</t>
  </si>
  <si>
    <t>SPORTS MAINT CRICKET WMTH AVE</t>
  </si>
  <si>
    <t>SPORTS MAINTENANCE - FITNESS TRAIL - SANDRINGHAM</t>
  </si>
  <si>
    <t>SPORTS MAINT-FOOTBALL SANDRING</t>
  </si>
  <si>
    <t>SPORTS MAINT-FOOTBALL WMTH AVE</t>
  </si>
  <si>
    <t>SPORTS MAINT</t>
  </si>
  <si>
    <t>SPORTS MAINT-OUTFIELD-WEY AVE</t>
  </si>
  <si>
    <t>SPORTS MAINTENANCE - PETANQUE - SANDRINGHAM</t>
  </si>
  <si>
    <t>SPORT MAINT-TENNIS COURTS B/G</t>
  </si>
  <si>
    <t>TOOLS, EQUIPMENT, CONSUMABLES - B/G PUBLIC TOILETS</t>
  </si>
  <si>
    <t>CONSUMABLES - BOROUGH GARDENS</t>
  </si>
  <si>
    <t>TOOLS,EQUIP &amp; CONSUMABLES-REC</t>
  </si>
  <si>
    <t>LITTER BINS - ADDITIONAL - KINGS ROAD PLAYING FIELD</t>
  </si>
  <si>
    <t>TOOLS, EQUIP, CONSUMABLES - MAUMBURY RINGS</t>
  </si>
  <si>
    <t>TOOLS,EQUIP,CONSUMABLES</t>
  </si>
  <si>
    <t>HEALTH &amp; SAFETY EQUIPMENT</t>
  </si>
  <si>
    <t>REFUSE TIPPING</t>
  </si>
  <si>
    <t>PUBLIC ENTERTAINMENT/PREMISES LICENCE - BOROUGH GARDENS</t>
  </si>
  <si>
    <t>PUBLIC ENTERTAINMENT LICENCE - MAUMBURY RINGS</t>
  </si>
  <si>
    <t>SUNDRY INCOME - PARKS &amp; GARDENS</t>
  </si>
  <si>
    <t>CULTURAL ACTIVITIES - MAUMBURY RINGS</t>
  </si>
  <si>
    <t>PC MAINTENANCE &amp; CONSUMABLES - GARDENS</t>
  </si>
  <si>
    <t>SUBSCRIPTIONS-PROF BODIES-B/G</t>
  </si>
  <si>
    <t>LEGAL PROFESSIONAL EXPENSE</t>
  </si>
  <si>
    <t>SPECIAL ITEM</t>
  </si>
  <si>
    <t>REPAIRS &amp; RENEWALS PARKS</t>
  </si>
  <si>
    <t>PRECEPT</t>
  </si>
  <si>
    <t>ADMIN CHARGE - OUTSIDE CONTRACTS</t>
  </si>
  <si>
    <t>ADMIN RECHARGE - DMJC</t>
  </si>
  <si>
    <t>MARKET-SHARE OF SURPLUS</t>
  </si>
  <si>
    <t>INTEREST</t>
  </si>
  <si>
    <t>COUNCILLOR ALLOWANCES</t>
  </si>
  <si>
    <t>SALARIES-MACE BEARER/ BEADLE/TOWN CRIER</t>
  </si>
  <si>
    <t>COUNCILLORS NI</t>
  </si>
  <si>
    <t>TRAVELLING &amp; SUB</t>
  </si>
  <si>
    <t>TRAINING COURSES</t>
  </si>
  <si>
    <t>GAS COUNCIL OFFICES</t>
  </si>
  <si>
    <t>ELECTRICITY-COUNCIL OFFICES</t>
  </si>
  <si>
    <t>WATER-COUNCIL OFFICES</t>
  </si>
  <si>
    <t>RATES-COUNCIL OFFICES</t>
  </si>
  <si>
    <t>TELEPHONE</t>
  </si>
  <si>
    <t>MOBILE PHONES - OFFICE</t>
  </si>
  <si>
    <t>Cleaning Wages</t>
  </si>
  <si>
    <t>CLEANING -WAGES/MAT/EQUIP</t>
  </si>
  <si>
    <t>GENMAINT-SECURITYSYSTEM-OFFICE</t>
  </si>
  <si>
    <t>GEN MAINT FIRE EQUIP</t>
  </si>
  <si>
    <t>GEN MAINT - COUNCIL OFFICES</t>
  </si>
  <si>
    <t>GENMAINT-OFFICE EQUIPMENT</t>
  </si>
  <si>
    <t>TOOLS,EQUIP &amp; CONS OFFICES</t>
  </si>
  <si>
    <t>TOOLS EQUIP &amp; CONS OFFICES</t>
  </si>
  <si>
    <t>PA EQUIPMENT</t>
  </si>
  <si>
    <t>MAYORS OVERSEAS VISITS</t>
  </si>
  <si>
    <t>MAYOR MAKING HOSPITALITY</t>
  </si>
  <si>
    <t>ENTERTAINMENT</t>
  </si>
  <si>
    <t>MEMBERS EXPENSES</t>
  </si>
  <si>
    <t>COUNCIL GIFTS</t>
  </si>
  <si>
    <t>SUBSCRIPTIONS &amp; DONATIONS</t>
  </si>
  <si>
    <t>CULTURAL ACTIVITIES</t>
  </si>
  <si>
    <t>SUBSCRIPTIONS &amp; DONATIONS S137</t>
  </si>
  <si>
    <t>INSURANCE-ESTABLISHMENT</t>
  </si>
  <si>
    <t>PRINTING,STATIONERY COUNCIL OF</t>
  </si>
  <si>
    <t>PRINTING &amp; STATIONERY</t>
  </si>
  <si>
    <t>PHOTOCOPIER</t>
  </si>
  <si>
    <t>BOOKS &amp; PUBLICATIONS</t>
  </si>
  <si>
    <t>PC MAINTENANCE &amp; CONSUMABLES</t>
  </si>
  <si>
    <t>PROMOTIONS</t>
  </si>
  <si>
    <t>SUBSCRIPTIONS-PROF BODIES/ASSO</t>
  </si>
  <si>
    <t>POSTAGE</t>
  </si>
  <si>
    <t>FRANKING MACHINE</t>
  </si>
  <si>
    <t>AUDIT FEE</t>
  </si>
  <si>
    <t>LEGAL/PROFESSIONAL FEES - COUNCIL OFFICES</t>
  </si>
  <si>
    <t>LEGAL/PROFESSIONAL FEES</t>
  </si>
  <si>
    <t>BANK CHARGES</t>
  </si>
  <si>
    <t>CHRISTMAS LIGHTING</t>
  </si>
  <si>
    <t>DORCHESTER HERITAGE COMMITTEE</t>
  </si>
  <si>
    <t>REMEMBRANCE SUNDAY</t>
  </si>
  <si>
    <t>RE-CHARGE TO MARKETS JOINT COMMITTEE</t>
  </si>
  <si>
    <t>COUNCIL OFFICES - EXTENSION EXPENSES</t>
  </si>
  <si>
    <t>ASSET MANAGEMENT REVENUE A/C</t>
  </si>
  <si>
    <t>MAYOR'S OVERSEAS VISITS</t>
  </si>
  <si>
    <t>GRANTS &amp; REC TWINNING</t>
  </si>
  <si>
    <t>TWINNING VISITS</t>
  </si>
  <si>
    <t>COMMUNITY PLANNING EXPENSES</t>
  </si>
  <si>
    <t>SOFTWARE/CONSUMABLES</t>
  </si>
  <si>
    <t>MISC INCOME</t>
  </si>
  <si>
    <t>BURIAL FEES - WEYMOUTH AVENUE CEMETERY</t>
  </si>
  <si>
    <t>BURIAL FEES - POUNDBURY CEMETERY</t>
  </si>
  <si>
    <t>BURIAL FEES - FORDINGTON CEMETERY</t>
  </si>
  <si>
    <t>PURCHASE EXCLUSIVE RIGHTS TO BURIAL - WEYMOUTH AVENUE CEMETE</t>
  </si>
  <si>
    <t>MEMORIALS &amp; INSCRIPTIONS - WEYMOUTH AVENUE CEMETERY</t>
  </si>
  <si>
    <t>MEMORIALS &amp; INSCRIPTIONS - POUNDBURY CEMETERY</t>
  </si>
  <si>
    <t>MEMORIALS &amp; INSCRIPTIONS - FORDINGTON CEMETERY</t>
  </si>
  <si>
    <t>CHAPEL - WEYMOUTH AVENUE CEMETERY</t>
  </si>
  <si>
    <t>CHAPEL - POUNDBURY CEMETERY</t>
  </si>
  <si>
    <t>SUNDRY INCOME - WEYMOUTH AVENUE CEMETERY</t>
  </si>
  <si>
    <t>SUNDRY INCOME - POUNDBURY CEMETERY</t>
  </si>
  <si>
    <t>EMP NI</t>
  </si>
  <si>
    <t>EMP SUPERANNUATION</t>
  </si>
  <si>
    <t>ELECTRICITY - WEYMOUTH AVENUE CEMETERY</t>
  </si>
  <si>
    <t>ELECTRICITY - POUNDBURY CEMETERY</t>
  </si>
  <si>
    <t>WATER - WEYMOUTH AVENUE CEMETERY</t>
  </si>
  <si>
    <t>WATER - POUNDBURY CEMETERY</t>
  </si>
  <si>
    <t>RATES - WEYMOUTH AVENUE CEMETERY</t>
  </si>
  <si>
    <t>RATES - POUNDBURY CEMETERY</t>
  </si>
  <si>
    <t>TELEPHONE - WEYMOUTH AVENUE CEMETERY</t>
  </si>
  <si>
    <t>TELEPHONE - POUNDBURY CEMETERY</t>
  </si>
  <si>
    <t>KUBOTA TRACTOR-CEMETERIES</t>
  </si>
  <si>
    <t>MOWERS-REPAIRS &amp; MAINT</t>
  </si>
  <si>
    <t>MAZDA PICK UP WL51 JWV-MOTOR FUEL</t>
  </si>
  <si>
    <t>MAZDA PICK UP WL51 JWV-REPAIRS &amp; MAINT</t>
  </si>
  <si>
    <t>GENERAL MAINTENANCE-GRASSCUTTING - POUNDBURY CEMETERY</t>
  </si>
  <si>
    <t>GENERAL MAINTENANCE-GRASSCUTTING - FORDINGTON CEMETERY</t>
  </si>
  <si>
    <t>GENERAL MAINTENANCE-OTHER</t>
  </si>
  <si>
    <t>GENERAL MAINTENANCE - WEYMOUTH AVENUE CEMETERY</t>
  </si>
  <si>
    <t>GENERAL MAINTENANCE - POUNDBURY CEMETERY</t>
  </si>
  <si>
    <t>ADDITIONS-PLAYGROUND EQUIPMENT</t>
  </si>
  <si>
    <t>ASSETS UNDER CONSTRUCTION</t>
  </si>
  <si>
    <t>LLOYDS PAYMENT A/C</t>
  </si>
  <si>
    <t>LLOYDS GENERAL ACCOUNT</t>
  </si>
  <si>
    <t>PETTY CASH</t>
  </si>
  <si>
    <t>DEBTORS-GENERAL</t>
  </si>
  <si>
    <t>VAT INPUT CONTROL</t>
  </si>
  <si>
    <t>PAYMENTS IN ADVANCE</t>
  </si>
  <si>
    <t>VAT CONTROL ACCOUNT</t>
  </si>
  <si>
    <t>RECHARGE-MARKETS EXPENSES</t>
  </si>
  <si>
    <t>SUSPENSE</t>
  </si>
  <si>
    <t>GENERAL CREDITORS</t>
  </si>
  <si>
    <t>PAYE CONTROL</t>
  </si>
  <si>
    <t>NI CONTROL</t>
  </si>
  <si>
    <t>SUPERANNUATION CONTROL</t>
  </si>
  <si>
    <t>WAGES CONTROL</t>
  </si>
  <si>
    <t>UNION DUES CONTROL</t>
  </si>
  <si>
    <t>CREDIT UNION DEDUCTION CONTROL</t>
  </si>
  <si>
    <t>ATTACHMENT OF EARNINGS CONTROL</t>
  </si>
  <si>
    <t>VAT OUTPUT CONTROL</t>
  </si>
  <si>
    <t>ACCRUALS</t>
  </si>
  <si>
    <t>GOVERNMENT GRANTS DEFERRED</t>
  </si>
  <si>
    <t>Heritage committee</t>
  </si>
  <si>
    <t>MILLSTREAM CONTRIBUTIONS</t>
  </si>
  <si>
    <t>GENERAL FUND INTEREST</t>
  </si>
  <si>
    <t>PUBLIC WORKS LOAN</t>
  </si>
  <si>
    <t>BAD DEBTS W/O</t>
  </si>
  <si>
    <t>Account No</t>
  </si>
  <si>
    <t>NEED TO JOURNAL</t>
  </si>
  <si>
    <t>On PGOS - All of this is Royal Wedding Related. There is no code for Royal Wedding though JC says there may be one for 'Sponsored Events' or 'Special Events'. But for time being, only adjusted Man Rep, not Sage</t>
  </si>
  <si>
    <t>Gas - Sandringham on Special Item code.</t>
  </si>
  <si>
    <t>Gas - Sandringham,</t>
  </si>
  <si>
    <t>Recode Gas payment to Gas, PGOS, Sandringham</t>
  </si>
  <si>
    <t>Electricity Municipal Buildings</t>
  </si>
  <si>
    <t>Gas - BCA</t>
  </si>
  <si>
    <t>Adjustments for Man Rep (DON'T JOURNAL as these haven't actually come through, but are estimates of what spend will be)</t>
  </si>
  <si>
    <t>Account Name</t>
  </si>
  <si>
    <t>ADJ</t>
  </si>
  <si>
    <t>Gas-municipal buildings</t>
  </si>
  <si>
    <t>carried forward from previous month</t>
  </si>
  <si>
    <t>electric municipal buildings</t>
  </si>
  <si>
    <t>rates - municipal buildings</t>
  </si>
  <si>
    <t>gas-borough gardens</t>
  </si>
  <si>
    <t>water borough gardens</t>
  </si>
  <si>
    <t>carried forward from previous month and excluding current month</t>
  </si>
  <si>
    <t>rent - weymouth ave rec</t>
  </si>
  <si>
    <t>rates - louds mill depot</t>
  </si>
  <si>
    <t>admin charge - outside contracts</t>
  </si>
  <si>
    <t>to match budget???</t>
  </si>
  <si>
    <t>admin recharge - dmjc</t>
  </si>
  <si>
    <t>to match budget</t>
  </si>
  <si>
    <t>electricity - council offices</t>
  </si>
  <si>
    <t>gas - council offices</t>
  </si>
  <si>
    <t>rates - council offices</t>
  </si>
  <si>
    <t>insurance - establishment</t>
  </si>
  <si>
    <t>accountancy fees</t>
  </si>
  <si>
    <t>electricity - weymouth avenue cemetery</t>
  </si>
  <si>
    <t>rates - weymouth avenue cemetery</t>
  </si>
  <si>
    <t>hire - weymouth avenue pavilion</t>
  </si>
  <si>
    <t>football - sandringham sports - senior</t>
  </si>
  <si>
    <t xml:space="preserve">WATER-MUNICIPAL BUILDINGS                                   </t>
  </si>
  <si>
    <t>General Maintenance - Weymouth Avenue Cemetery</t>
  </si>
  <si>
    <t>COMMENTS</t>
  </si>
  <si>
    <t>ITEM</t>
  </si>
  <si>
    <t>FORECAST</t>
  </si>
  <si>
    <t>Employee Related Expenditure</t>
  </si>
  <si>
    <t>Premises Related Expenditure</t>
  </si>
  <si>
    <t>Transport Related Expenditure</t>
  </si>
  <si>
    <t>Supplies &amp; Services</t>
  </si>
  <si>
    <t>Cultural</t>
  </si>
  <si>
    <t>YTD is £15905.14 but most of this is met by reserves. The amount not met by reserves is for Installation/removal of Xmas Lighting which is £4838</t>
  </si>
  <si>
    <t>Contribution Town Centre Promotion</t>
  </si>
  <si>
    <t>Spend to date = 0. Therefore leave 0910 Revised as 0 and 1011 as 0 - per DH</t>
  </si>
  <si>
    <t>Special Item - Consultants-build maintenance schedule</t>
  </si>
  <si>
    <t>0910 per Sage actual expenditure to date on Building Maintenance Schedule. Per DH - won't arise again next year.</t>
  </si>
  <si>
    <t xml:space="preserve">Fire Training </t>
  </si>
  <si>
    <t>Nothing spent to date, and nothing on 0809 Actual either. Will there be any spend on here? Shall we leave revised and 11/12 as it is?</t>
  </si>
  <si>
    <t>CRB Checks</t>
  </si>
  <si>
    <t xml:space="preserve">Taken out £2000 here and put it in Admin Fees </t>
  </si>
  <si>
    <t>Transfer To Specific Reserves</t>
  </si>
  <si>
    <t>Third-Party Payments</t>
  </si>
  <si>
    <t>Spoke to John in Audit - Deducted 20% off revised but left room in there for more internal audit to be prudent. External and Internal Audit - didn’t have group accounts, didn’t have cash flow, tried to minimise amount of work auditors had to do so possible reduction in audit fee going forward?</t>
  </si>
  <si>
    <t>YTD is only £356.95. Do we keep revised and 11/12 the same? Or reduce?</t>
  </si>
  <si>
    <t xml:space="preserve"> S137 Donations made by DMJC</t>
  </si>
  <si>
    <t>Should have been some spend in 0910</t>
  </si>
  <si>
    <t>Admin Outside Bodies</t>
  </si>
  <si>
    <t xml:space="preserve"> Less Recharge Outside Bodies</t>
  </si>
  <si>
    <t>YTD is £215 on match ball sponsorship. Are there likely to be any more subs/donations and therefore do we  need to revise the 11/12 downwards? What about 11/12?</t>
  </si>
  <si>
    <t>Taken out DJBC Precept figure that was here (as this is included in Burials tab)</t>
  </si>
  <si>
    <t>Transfer to Specific Reserves</t>
  </si>
  <si>
    <t>Transfer to Sunday Market Reserve</t>
  </si>
  <si>
    <t>Difference between Sunday Market Income and S137 distributions</t>
  </si>
  <si>
    <t>Capital Charges</t>
  </si>
  <si>
    <t>Central Recharges</t>
  </si>
  <si>
    <t>Transfer Salary Costs</t>
  </si>
  <si>
    <t>Transfer Admin Costs</t>
  </si>
  <si>
    <t>13/14 will include at least 1 repayment of the loan relating to the Corn Exchange</t>
  </si>
  <si>
    <t>Including PWLB Loan for £100k (Annuity)</t>
  </si>
  <si>
    <t>TOTAL EXPENDITURE</t>
  </si>
  <si>
    <t>Reimbursements &amp; Contributions</t>
  </si>
  <si>
    <t>2.5 inc on 9279</t>
  </si>
  <si>
    <t>Taken out DJBC Fee Income in 2011/12, and taken out it's contra in Burials tab</t>
  </si>
  <si>
    <t>Admin Fees +</t>
  </si>
  <si>
    <t>Taken out DJBC Fee Income, and taken out it's contra in Burials tab</t>
  </si>
  <si>
    <t>DMJC</t>
  </si>
  <si>
    <t>Per Dennis, put a budget of £1000 in revised and in 11/12</t>
  </si>
  <si>
    <t>Customer &amp; Client Receipts</t>
  </si>
  <si>
    <t>Market - Share of Surplus from Wednesday Market</t>
  </si>
  <si>
    <t>Need to ensure that numbers here match the report that goes to the Markets panel in January</t>
  </si>
  <si>
    <t>Note - changed to reflect fall in income - this is as per DMJC Budget</t>
  </si>
  <si>
    <t>Market - Share of Surplus from Sunday Market</t>
  </si>
  <si>
    <t>Based on Market estimates - from Dan</t>
  </si>
  <si>
    <t>put up to 3%</t>
  </si>
  <si>
    <t>Grant - Best Value Provision</t>
  </si>
  <si>
    <t>Donation</t>
  </si>
  <si>
    <t>Miscellaneous Income</t>
  </si>
  <si>
    <t>Reversal of Capital Charges</t>
  </si>
  <si>
    <t>Per James'  calculations (sum of Cap Charges reversed)</t>
  </si>
  <si>
    <t>TOTAL INCOME</t>
  </si>
  <si>
    <t xml:space="preserve"> </t>
  </si>
  <si>
    <t>NET CORPORATE MANAGEMENT</t>
  </si>
  <si>
    <t>2013/14</t>
  </si>
  <si>
    <t>PROJECT BUDGET</t>
  </si>
  <si>
    <t>Transfer from Christmas Lighting Reserve</t>
  </si>
  <si>
    <t>TOTAL PROJECT BUDGET</t>
  </si>
  <si>
    <t>GRAND TOTAL</t>
  </si>
  <si>
    <t>Check to Out Turns/Budget</t>
  </si>
  <si>
    <t>Employers National Insurance</t>
  </si>
  <si>
    <t>Employers Superannuation</t>
  </si>
  <si>
    <t>Travel &amp; Subsistence</t>
  </si>
  <si>
    <t>Subscriptions (Professional Bodies)</t>
  </si>
  <si>
    <t>Gas</t>
  </si>
  <si>
    <t>Insurance</t>
  </si>
  <si>
    <t>Postage</t>
  </si>
  <si>
    <t>RESERVES</t>
  </si>
  <si>
    <t>Cttee</t>
  </si>
  <si>
    <t xml:space="preserve"> Balance</t>
  </si>
  <si>
    <t>Paid In</t>
  </si>
  <si>
    <t>Spend</t>
  </si>
  <si>
    <t>Mar 25</t>
  </si>
  <si>
    <t>Mar 26</t>
  </si>
  <si>
    <t>Reason for holding Reserve</t>
  </si>
  <si>
    <t>Infrastructure &amp; Equipment</t>
  </si>
  <si>
    <t xml:space="preserve">Cemeteries </t>
  </si>
  <si>
    <t>Man</t>
  </si>
  <si>
    <t>MB Repairs &amp; Maintenance</t>
  </si>
  <si>
    <t>MB Front of House works</t>
  </si>
  <si>
    <t>Parks Premises</t>
  </si>
  <si>
    <t>Buildings/infrastructure refurb.</t>
  </si>
  <si>
    <t xml:space="preserve"> Equipment replacement</t>
  </si>
  <si>
    <t>Great Field Reserve</t>
  </si>
  <si>
    <t>Tree Reserve</t>
  </si>
  <si>
    <t>Tree Works</t>
  </si>
  <si>
    <t>19 North Square Refurb</t>
  </si>
  <si>
    <t>Pol</t>
  </si>
  <si>
    <t>Public Realm</t>
  </si>
  <si>
    <t>Infrastructure refurb</t>
  </si>
  <si>
    <t xml:space="preserve">Vehicles &amp; Equipment </t>
  </si>
  <si>
    <t>Fleet &amp; equipment replacement</t>
  </si>
  <si>
    <t xml:space="preserve">Christmas Lights </t>
  </si>
  <si>
    <t>Replace lights</t>
  </si>
  <si>
    <t>DTC Website &amp; IT</t>
  </si>
  <si>
    <t>£3k DTC Website, £4,651.87 IT</t>
  </si>
  <si>
    <t>Tourist Information</t>
  </si>
  <si>
    <t>TIC Replacement Projects</t>
  </si>
  <si>
    <t>Miscellaneous Reserves</t>
  </si>
  <si>
    <t>Corporate Projects</t>
  </si>
  <si>
    <t>Own or partner capital projects</t>
  </si>
  <si>
    <t>Apprenticeship Reserve</t>
  </si>
  <si>
    <t>Planning Advice Reserve</t>
  </si>
  <si>
    <t>Climate Emergency Reserve</t>
  </si>
  <si>
    <t>Own or partner Climate projects</t>
  </si>
  <si>
    <t xml:space="preserve">Graves In Perpetuity </t>
  </si>
  <si>
    <t>Maint. and flowers on 6 graves</t>
  </si>
  <si>
    <t>Total Earmarked Reserves</t>
  </si>
  <si>
    <t>General Emergency Fund</t>
  </si>
  <si>
    <t>Total Reserves</t>
  </si>
  <si>
    <t>2026/27</t>
  </si>
  <si>
    <t>Markets</t>
  </si>
  <si>
    <t xml:space="preserve">Exchange Rate Variance                                      </t>
  </si>
  <si>
    <t>CRA</t>
  </si>
  <si>
    <t>supplies and services</t>
  </si>
  <si>
    <t>Bank Charges</t>
  </si>
  <si>
    <t>Democratic Representation &amp; Management</t>
  </si>
  <si>
    <t>Recharge - Salary Costs</t>
  </si>
  <si>
    <t>Non-Rechargeable Administration</t>
  </si>
  <si>
    <t>Recharge - Admin Costs</t>
  </si>
  <si>
    <t xml:space="preserve">ALLOTMENT RENTAL-ALINGTON AVENUE                            </t>
  </si>
  <si>
    <t>Rental Income</t>
  </si>
  <si>
    <t xml:space="preserve">ALLOTMENT RENTAL-HAWTHORNE RD                               </t>
  </si>
  <si>
    <t xml:space="preserve">ALLOTMENT RENTAL-ST.GEORGES RD                              </t>
  </si>
  <si>
    <t xml:space="preserve">ALLOTMENT RENTAL-LOUDS MILL                                 </t>
  </si>
  <si>
    <t xml:space="preserve">ALLOTMENT RENTAL-FROME TERRACE                              </t>
  </si>
  <si>
    <t xml:space="preserve">ALLOTMENT RENTAL-HERRINGSTON                                </t>
  </si>
  <si>
    <t xml:space="preserve">WAYLEAVE HAWTHORN ROAD                                      </t>
  </si>
  <si>
    <t>Wayleave - Hawthorn Road</t>
  </si>
  <si>
    <t xml:space="preserve">SALARIES                                                    </t>
  </si>
  <si>
    <t>Wages</t>
  </si>
  <si>
    <t xml:space="preserve">EMPLOYERS NI                                                </t>
  </si>
  <si>
    <t xml:space="preserve">EMPLOYERS SUPERANNUATION                                    </t>
  </si>
  <si>
    <t xml:space="preserve">WATER ALINGTON ROAD                                         </t>
  </si>
  <si>
    <t>Premises Related Expenses</t>
  </si>
  <si>
    <t xml:space="preserve">WATER HAWTHORNE ROAD                                        </t>
  </si>
  <si>
    <t xml:space="preserve">WATER ST. GEORGES ROAD                                      </t>
  </si>
  <si>
    <t xml:space="preserve">WATER LOUDS MILL                                            </t>
  </si>
  <si>
    <t xml:space="preserve">WATER HERRINGSTON ROAD                                      </t>
  </si>
  <si>
    <t xml:space="preserve">RENT-ALINGTON AVE ALLOTMENTS                                </t>
  </si>
  <si>
    <t xml:space="preserve">RENT-ST GEORGES ROAD ALLOTMENT                              </t>
  </si>
  <si>
    <t xml:space="preserve">RENT-HERRINGSTON RD ALLOTMENTS                              </t>
  </si>
  <si>
    <t>RENT - RED COW FARM ALLOTMENTS</t>
  </si>
  <si>
    <t xml:space="preserve">T707 GPR - NEW TRANSIT                                      </t>
  </si>
  <si>
    <t>Transport related expenses</t>
  </si>
  <si>
    <t>Pick-up</t>
  </si>
  <si>
    <t xml:space="preserve">FORD RANGER - W592 MFC - FUEL                               </t>
  </si>
  <si>
    <t xml:space="preserve">FORD RANGER W592 MFC - REPAIRS &amp; MAINTENANCE                </t>
  </si>
  <si>
    <t xml:space="preserve">FORD RANGER - W592 MFC - TAX/INSURANCE                      </t>
  </si>
  <si>
    <t xml:space="preserve">MF TRACTOR MOTOR FUEL                                       </t>
  </si>
  <si>
    <t>Tractor</t>
  </si>
  <si>
    <t xml:space="preserve">MF TRACTOR REPAIRS &amp; MAINT                                  </t>
  </si>
  <si>
    <t xml:space="preserve">MF TRACTOR TAX,INSURANCE                                    </t>
  </si>
  <si>
    <t xml:space="preserve">HF07 HXV TRACTOR - MOTOR FUEL                               </t>
  </si>
  <si>
    <t>Parks, gardens &amp; open Spaces</t>
  </si>
  <si>
    <t xml:space="preserve">HF07 HXV TRACTOR - REPAIRS &amp; MAINTENANCE                    </t>
  </si>
  <si>
    <t xml:space="preserve">HF07 HXV TRACTOR - TAX &amp; INSURANCE                          </t>
  </si>
  <si>
    <t xml:space="preserve">PICK-UP - LH30 NHL - FUEL                                   </t>
  </si>
  <si>
    <t>PIAGGIO TIPPER HF07 FXE - REPAIRS &amp; MAINT</t>
  </si>
  <si>
    <t>Transport - Tractor</t>
  </si>
  <si>
    <t xml:space="preserve">L430 NHL - TAX, INSURANCE                                   </t>
  </si>
  <si>
    <t xml:space="preserve">T236 BBN VAUXHALL BRAVA - MOTOR FUEL                        </t>
  </si>
  <si>
    <t xml:space="preserve">T236 BBN - REPAIRS AND MAINTENANCE                          </t>
  </si>
  <si>
    <t xml:space="preserve">T236 BBN VAUXHALL BRAVA - TAX, INSURANCE                    </t>
  </si>
  <si>
    <t>GENERAL MAINTENANCE - FENCING ALLINGTON AVENUE</t>
  </si>
  <si>
    <t>Supplies and Services</t>
  </si>
  <si>
    <t xml:space="preserve">GEN MAINT-FENCING-HAWTHORNE RD ALLOTMENTS                   </t>
  </si>
  <si>
    <t xml:space="preserve">GENERAL FENCING - ST. GEORGE'S ROAD                         </t>
  </si>
  <si>
    <t xml:space="preserve">GENERAL MAINTENANCE - FENCING - HERRINGSTON ROAD            </t>
  </si>
  <si>
    <t>GENERAL MAINTENANCE - TREES &amp; SHRUBS - FROME TERRACE ALLOT</t>
  </si>
  <si>
    <t xml:space="preserve">GENMAINT - PATHS - ALINGTON                                 </t>
  </si>
  <si>
    <t>GENERAL MAINTENANCE - PATHS - LOUDS MILL ALLOTMENTS</t>
  </si>
  <si>
    <t xml:space="preserve">GENMAINT-OTHER-ALINGTON AVE                                 </t>
  </si>
  <si>
    <t xml:space="preserve">GENMAINT-OTHER-HAWTHORNE RD ALLOTMENTS                      </t>
  </si>
  <si>
    <t xml:space="preserve">GENMAINT-OTHER-ST.GEORGES RD                                </t>
  </si>
  <si>
    <t xml:space="preserve">GENMAINT-OTHER-LOUDS MILL                                   </t>
  </si>
  <si>
    <t xml:space="preserve">GEN MAINT-OTHER-FROME TERRACE                               </t>
  </si>
  <si>
    <t xml:space="preserve">GEN MAINT HERRINGSTON ROAD                                  </t>
  </si>
  <si>
    <t xml:space="preserve">GEN MAINT-OTHER                                             </t>
  </si>
  <si>
    <t>TOOLS, EQUIP, CONSUMABLES - ALINGTON AVE ALLOTMENTS</t>
  </si>
  <si>
    <t xml:space="preserve">TOOLS, EQUIP, CONSUMABLES - HERRINGSTON ROAD ALLOTMENTS     </t>
  </si>
  <si>
    <t xml:space="preserve">TOOLS,EQUIP &amp; CONSUMABLES                                   </t>
  </si>
  <si>
    <t xml:space="preserve">PEST CONTROL - ALINGTON AVE                                 </t>
  </si>
  <si>
    <t>Pest Control</t>
  </si>
  <si>
    <t xml:space="preserve">PEST CONTROL - ST. GEORGES ROAD                             </t>
  </si>
  <si>
    <t xml:space="preserve">PEST CONTROL - LOUDS MILL                                   </t>
  </si>
  <si>
    <t xml:space="preserve">PEST CONTROL - FROME TERRACE                                </t>
  </si>
  <si>
    <t xml:space="preserve">PEST CONTROL - HERRINGSTON ROAD                             </t>
  </si>
  <si>
    <t xml:space="preserve">REFUSE TIPPING - ALINGTON AVENUE ALLOTMENTS                 </t>
  </si>
  <si>
    <t>Refuse Tipping</t>
  </si>
  <si>
    <t xml:space="preserve">REFUSE TIPPING - FROME TERRACE                              </t>
  </si>
  <si>
    <t xml:space="preserve">REFUSE TIPPING - HERRINGSTON ROAD ALLOTMENTS                </t>
  </si>
  <si>
    <t xml:space="preserve">REFUSE TIPPING                                              </t>
  </si>
  <si>
    <t xml:space="preserve">ALLOTMENT COMP/ENGRAVING                                    </t>
  </si>
  <si>
    <t>Competition - Costs/Prize Money</t>
  </si>
  <si>
    <t xml:space="preserve">BOOKS AND PUBLICATIONS - ALLOTMENTS                         </t>
  </si>
  <si>
    <t xml:space="preserve">ALLOTMENTS - SUBSCRIPTIONS - PROF BODIES/ASSOC              </t>
  </si>
  <si>
    <t xml:space="preserve">POSTAGE - RECORDED DELIVERY                                 </t>
  </si>
  <si>
    <t>Postage - Recorded Delivery</t>
  </si>
  <si>
    <t xml:space="preserve">LEGAL/PROFESSIONAL EXPENSES - LOUDS MILL ALLOTMENTS         </t>
  </si>
  <si>
    <t>Legal/Professional Fees</t>
  </si>
  <si>
    <t>LEGAL PROFESSIONAL SERVICES - NEW ALLOTMENT SITE</t>
  </si>
  <si>
    <t xml:space="preserve">COMPETITION PRIZE MONEY                                     </t>
  </si>
  <si>
    <t>Transfer Salary Costs - Allotments</t>
  </si>
  <si>
    <t>Transfer Admin Costs - Allotments</t>
  </si>
  <si>
    <t xml:space="preserve">ALLOTMENTS - SPECIAL ITEMS                                  </t>
  </si>
  <si>
    <t xml:space="preserve">CAPITAL CHARGES                                             </t>
  </si>
  <si>
    <t>RENT INCOME FOR SAWMILLS</t>
  </si>
  <si>
    <t>Buildings &amp; Cultural Activities</t>
  </si>
  <si>
    <t xml:space="preserve">HIRE-CORN EXCHANGE                                          </t>
  </si>
  <si>
    <t>Room Hire</t>
  </si>
  <si>
    <t xml:space="preserve">HIRE-CORN EXCHANGE KITCHEN                                  </t>
  </si>
  <si>
    <t xml:space="preserve">HIRE-TOWN HALL                                              </t>
  </si>
  <si>
    <t xml:space="preserve">HIRE-MAGISTRATES ROOM                                       </t>
  </si>
  <si>
    <t xml:space="preserve">HIRE-COUNCIL CHAMBER                                        </t>
  </si>
  <si>
    <t xml:space="preserve">HIRE-DRESSING ROOMS                                         </t>
  </si>
  <si>
    <t xml:space="preserve">SPONSORED ENTERTAINMENT                                     </t>
  </si>
  <si>
    <t>Sponsored Events</t>
  </si>
  <si>
    <t xml:space="preserve">Wedding Corn Exchange                                       </t>
  </si>
  <si>
    <t xml:space="preserve">Weddings Town Hall                                          </t>
  </si>
  <si>
    <t xml:space="preserve">Weddings Council Chamber                                    </t>
  </si>
  <si>
    <t xml:space="preserve">RECHARGE - TELEPHONE COSTS                                  </t>
  </si>
  <si>
    <t>Telephone Income</t>
  </si>
  <si>
    <t xml:space="preserve">BAR FRANCHISE                                               </t>
  </si>
  <si>
    <t>Bar Franchise</t>
  </si>
  <si>
    <t xml:space="preserve">TELEPHONE-CORN EXCHANGE                                     </t>
  </si>
  <si>
    <t xml:space="preserve">OUTSIDE CONTRACT/SALE - CORN EXCHANGE                       </t>
  </si>
  <si>
    <t>Sundry</t>
  </si>
  <si>
    <t xml:space="preserve">COMMISSION UNION DEDUCTIONS                                 </t>
  </si>
  <si>
    <t>COMPENSATION RECEIVED - CORN EXCHANGE DAMAGE</t>
  </si>
  <si>
    <t xml:space="preserve">SUNDRY INCOME                                               </t>
  </si>
  <si>
    <t xml:space="preserve">HIRER - DAMAGE RECHARGE                                     </t>
  </si>
  <si>
    <t xml:space="preserve">TRAINING COURSES - CARETAKERS                               </t>
  </si>
  <si>
    <t xml:space="preserve">PROTECTIVE CLOTHING                                         </t>
  </si>
  <si>
    <t>Protective Clothing</t>
  </si>
  <si>
    <t xml:space="preserve">GAS-MUNICIPAL BUILDINGS                                     </t>
  </si>
  <si>
    <t xml:space="preserve">ELECTRIC-MUNICIPAL BUILDINGS                                </t>
  </si>
  <si>
    <t xml:space="preserve">RATES-MUNICIPAL BUILDINGS                                   </t>
  </si>
  <si>
    <t xml:space="preserve">INSURANCE-PREMISES                                          </t>
  </si>
  <si>
    <t xml:space="preserve">TELEPHONE-MUNICIPAL BUILDINGS                               </t>
  </si>
  <si>
    <t>TV LICENCE</t>
  </si>
  <si>
    <t>Public Entertainment Licence</t>
  </si>
  <si>
    <t xml:space="preserve">FURN &amp; FITTINGS-CORN EXCHANGE                               </t>
  </si>
  <si>
    <t>Furniture &amp; Fittings</t>
  </si>
  <si>
    <t xml:space="preserve">FURNITURE&amp;FITTINGS-M/B KITCHEN                              </t>
  </si>
  <si>
    <t xml:space="preserve">FURNITURE &amp; FITTINGS - TOWN HALL                            </t>
  </si>
  <si>
    <t xml:space="preserve">FURNITURE &amp; FITTINGS - MAGISTRATES ROOM                     </t>
  </si>
  <si>
    <t xml:space="preserve">FURN&amp;FITTINGS-COUNCIL CHAMBER                               </t>
  </si>
  <si>
    <t xml:space="preserve">FURNITURE &amp; FITTINGS - COUNCIL CHAMBER                      </t>
  </si>
  <si>
    <t xml:space="preserve">FURN &amp; FITTINGS-BUILDINGS                                   </t>
  </si>
  <si>
    <t xml:space="preserve">HIRER DAMAGE                                                </t>
  </si>
  <si>
    <t xml:space="preserve">CLEANING - CORN EXCHANGE                                    </t>
  </si>
  <si>
    <t>Cleaning - Materials &amp; Equipment</t>
  </si>
  <si>
    <t xml:space="preserve">CLEANING-C/E KITCHEN                                        </t>
  </si>
  <si>
    <t xml:space="preserve">CLEANING-TOWN HALL                                          </t>
  </si>
  <si>
    <t xml:space="preserve">CLEANING-WAGES,MATS &amp; EQUIP                                 </t>
  </si>
  <si>
    <t xml:space="preserve">CLEANING - COUNCIL CHAMBER                                  </t>
  </si>
  <si>
    <t xml:space="preserve">GEN MAINT CORN EXCHANGE                                     </t>
  </si>
  <si>
    <t>Repairs &amp; Maintenance - General</t>
  </si>
  <si>
    <t xml:space="preserve">GENMAINT CORN EXCHANGE KITCHEN                              </t>
  </si>
  <si>
    <t xml:space="preserve">GENMAINT-PREMISES-TOWN HALL                                 </t>
  </si>
  <si>
    <t xml:space="preserve">GEN MAINT-PREMISES MAGIST ROOM                              </t>
  </si>
  <si>
    <t xml:space="preserve">GENMAINT-PREMISES-COUNCIL CHAMBER                           </t>
  </si>
  <si>
    <t xml:space="preserve">GENMAINT-PREMISES-DRESSINGROOM                              </t>
  </si>
  <si>
    <t xml:space="preserve">GEN MAINT TOWN HALL CLOCK                                   </t>
  </si>
  <si>
    <t>Repairs &amp; Maintenance - Clock</t>
  </si>
  <si>
    <t xml:space="preserve">GENERAL MAINTENANCE-PREMISES-M/B STAIRS/FOYER               </t>
  </si>
  <si>
    <t xml:space="preserve">GEN MAINT-PREMISES                                          </t>
  </si>
  <si>
    <t xml:space="preserve">GEN MAINT-MICRO LIFT                                        </t>
  </si>
  <si>
    <t>MB SEWER REPAIRS</t>
  </si>
  <si>
    <t>Sewer Repairs</t>
  </si>
  <si>
    <t xml:space="preserve">GEN MAINT - MUNICIPAL BUILDING                              </t>
  </si>
  <si>
    <t>CCTV</t>
  </si>
  <si>
    <t>Repairs &amp; Maintenance - Security</t>
  </si>
  <si>
    <t xml:space="preserve">GEN MAINT-SECURITY-M/B                                      </t>
  </si>
  <si>
    <t xml:space="preserve">GEN MAINT FIRE EQUIP CORN EXCH                              </t>
  </si>
  <si>
    <t xml:space="preserve">GENMAINT-FIRE EQUIP - TOWN HALL                        </t>
  </si>
  <si>
    <t xml:space="preserve">GENMAINT-FIRE EQUIP - DRESSING ROOMS                        </t>
  </si>
  <si>
    <t xml:space="preserve">GEN MAINT-FIRE EQUIP-M/B                                    </t>
  </si>
  <si>
    <t xml:space="preserve">GEN MAINT OTHER CORN EXCHANGE                               </t>
  </si>
  <si>
    <t xml:space="preserve">GENERAL MAINTENANCE - OTHER - C/E KITCHEN                   </t>
  </si>
  <si>
    <t xml:space="preserve">GEN MAINT - OTHER - TOWN HALL                               </t>
  </si>
  <si>
    <t xml:space="preserve">GENMAINT-OTHER-MAGISTRATE ROOM                              </t>
  </si>
  <si>
    <t xml:space="preserve">GENMAINT-OTHER-COUNCIL CHAMBER                              </t>
  </si>
  <si>
    <t xml:space="preserve">GEN MAINT - DRESSING ROOMS                                  </t>
  </si>
  <si>
    <t xml:space="preserve">GEN MAINT - TOWN HALL CLOCK                                 </t>
  </si>
  <si>
    <t xml:space="preserve">GENERAL MAINTENANCE - OTHER - BAR                           </t>
  </si>
  <si>
    <t xml:space="preserve">GENERAL MAINTENANCE - M/B FOYER/STAIRS                      </t>
  </si>
  <si>
    <t xml:space="preserve">GENERAL MAINTENANCE - RECHARGEABLE - CORN EXCHANGE          </t>
  </si>
  <si>
    <t xml:space="preserve">GENERAL MAINTENANCE - RECHARGEABLE - MUNICIPAL BUILDINGS    </t>
  </si>
  <si>
    <t>PIAGGIO TIPPER HFO7 FXE - REPAIRS &amp; MAINT</t>
  </si>
  <si>
    <t xml:space="preserve">REPAIRS &amp; RENEWALS OFFICE EQUIPMENT - CORN EXCHANGE         </t>
  </si>
  <si>
    <t>Tools &amp; Materials</t>
  </si>
  <si>
    <t xml:space="preserve">GENERAL MAINTENANCE - LITTER BINS - MUNICIPAL BUILDINGS     </t>
  </si>
  <si>
    <t xml:space="preserve">GENERAL MAINTENANCE-OTHER-CORN EXCHANGE                     </t>
  </si>
  <si>
    <t xml:space="preserve">GENMAINT-OTHER-C/E KITCHEN                                  </t>
  </si>
  <si>
    <t xml:space="preserve">GEN MAINT-OTHER-TOWN HALL                                   </t>
  </si>
  <si>
    <t xml:space="preserve">GENERAL MAINTENANCE - OTHER - COUNCIL CHAMBER               </t>
  </si>
  <si>
    <t xml:space="preserve">GENERAL MAINTENANCE - OTHER - DRESSING ROOMS                </t>
  </si>
  <si>
    <t xml:space="preserve">OUTSIDE CONTRACTS - BUILDINGS                               </t>
  </si>
  <si>
    <t xml:space="preserve">TOOLS,EQUIPMENT &amp; CONSUMABLES                               </t>
  </si>
  <si>
    <t xml:space="preserve">TOOLS, EQUIPMENT &amp; CONSUMABLES                              </t>
  </si>
  <si>
    <t xml:space="preserve">TOOLS, EQUIP, CONSUMABLES - TOWN HALL                       </t>
  </si>
  <si>
    <t xml:space="preserve">TOOLS, EQUIPMENT, CONSUMABLES-MAGISTRATES ROOM              </t>
  </si>
  <si>
    <t xml:space="preserve">TOOLS, EQUIPMENT &amp; CONSUMABLES - COUNCIL CHAMBER            </t>
  </si>
  <si>
    <t xml:space="preserve">TOOLS, EQUIP &amp; CONS M/B - DRESSING ROOMS                    </t>
  </si>
  <si>
    <t>TOOLS, EQUIP &amp; CONSUMABLES - M/B STAIRS/FOYER</t>
  </si>
  <si>
    <t xml:space="preserve">TOOLS EQUIP &amp; CONS M/B                                      </t>
  </si>
  <si>
    <t xml:space="preserve">PEST CONTROL - CORN EXCHANGE                                </t>
  </si>
  <si>
    <t xml:space="preserve">HEALTH &amp; SAFETY - CORN EXCHANGE                             </t>
  </si>
  <si>
    <t>Health &amp; Safety</t>
  </si>
  <si>
    <t xml:space="preserve">REFUSE TIPPING - M/B                                        </t>
  </si>
  <si>
    <t xml:space="preserve">PERFORMING RIGHTS                                           </t>
  </si>
  <si>
    <t>Performing Rights</t>
  </si>
  <si>
    <t xml:space="preserve">PUBLIC ENTERTAINMENT LICENCE                                </t>
  </si>
  <si>
    <t xml:space="preserve">WEDDING LICENCE                                             </t>
  </si>
  <si>
    <t>Wedding Licence</t>
  </si>
  <si>
    <t xml:space="preserve">CIVIC REGALIA &amp; EQUIPMENT - COUNCIL CHAMBER                 </t>
  </si>
  <si>
    <t xml:space="preserve">CULTURAL EVENTS                                             </t>
  </si>
  <si>
    <t>Third Party Payments</t>
  </si>
  <si>
    <t>Grants and Event Sponsorship</t>
  </si>
  <si>
    <t xml:space="preserve">DORCHESTER FESTIVAL                                         </t>
  </si>
  <si>
    <t>Dorchester Festival</t>
  </si>
  <si>
    <t xml:space="preserve">60th ANNIVERSARY NORMANDY                                   </t>
  </si>
  <si>
    <t>60th Anniversary Normandy</t>
  </si>
  <si>
    <t xml:space="preserve">trafalgar commemorations                                    </t>
  </si>
  <si>
    <t>Trafalgar Commemoration</t>
  </si>
  <si>
    <t>ROMAN FESTIVAL</t>
  </si>
  <si>
    <t>Roman Festival</t>
  </si>
  <si>
    <t>Dorset &amp; Devon Freedom March</t>
  </si>
  <si>
    <t xml:space="preserve">Dorchester Festival                                         </t>
  </si>
  <si>
    <t>Borough Gardens Events</t>
  </si>
  <si>
    <t xml:space="preserve">BOROUGH GARDENS EVENTS                                      </t>
  </si>
  <si>
    <t xml:space="preserve">STATIONERY - M/B                                            </t>
  </si>
  <si>
    <t>Promotion, Advertising &amp; Stationery</t>
  </si>
  <si>
    <t xml:space="preserve">BOOKS &amp; PUBLICATIONS                                        </t>
  </si>
  <si>
    <t xml:space="preserve">ADVERTISING                                                 </t>
  </si>
  <si>
    <t>LEGAL/PROFESSIONAL EXPENSE - CORN EXCHANGE BAR</t>
  </si>
  <si>
    <t xml:space="preserve">LEGAL/PROFESSIONAL EXPENSE - MB STAIRS/FOYER                </t>
  </si>
  <si>
    <t xml:space="preserve">LEGAL PROF FEES - M/B                                       </t>
  </si>
  <si>
    <t xml:space="preserve">BAR LICENCE - M/B                                           </t>
  </si>
  <si>
    <t>Bar Licence</t>
  </si>
  <si>
    <t xml:space="preserve">CAPITAL WORKS MUN BUILDING REF                              </t>
  </si>
  <si>
    <t>M/B Refurbishment - Major Repairs</t>
  </si>
  <si>
    <t xml:space="preserve">MUN BUILDINGS REP &amp; RENEWALS                                </t>
  </si>
  <si>
    <t>M/B Refurbishment - Repairs &amp; Renewals</t>
  </si>
  <si>
    <t>MB Boiler Repairs &amp; Renewals</t>
  </si>
  <si>
    <t>M/B - boilers repairs and renewals</t>
  </si>
  <si>
    <t>Capital Expenditure</t>
  </si>
  <si>
    <t>Capital Expenditure - Lift</t>
  </si>
  <si>
    <t>Transfer Salary Costs - Buildings &amp; Cultural Activities</t>
  </si>
  <si>
    <t>Transfer Admin Costs - Buildings &amp; Cultural Activities</t>
  </si>
  <si>
    <t xml:space="preserve">SPECIAL ITEM                                                </t>
  </si>
  <si>
    <t>AMORTISATION OF GOVERNMENT GRANTS</t>
  </si>
  <si>
    <t xml:space="preserve">TENNIS BOROUGH GARDENS                                      </t>
  </si>
  <si>
    <t xml:space="preserve">BOWLS-BOROUGH GARDENS                                       </t>
  </si>
  <si>
    <t>Bowls</t>
  </si>
  <si>
    <t xml:space="preserve">FOOTBALL-SANDRINGHAM SPORTS - SENIOR                        </t>
  </si>
  <si>
    <t xml:space="preserve">FOOTBALL-WEYMOUTH AVENUE - SENIOR                           </t>
  </si>
  <si>
    <t xml:space="preserve">FOOTBALL-KINGS ROAD                                         </t>
  </si>
  <si>
    <t xml:space="preserve">FOOTBALL-SANDRINGHAM SPORTS - JUNIOR                        </t>
  </si>
  <si>
    <t xml:space="preserve">FOOTBALL-WEYMOUTH AVENUE - JUNIOR                           </t>
  </si>
  <si>
    <t xml:space="preserve">FOOTBALL-WEYMOUTH AVENUE - MINI                             </t>
  </si>
  <si>
    <t xml:space="preserve">FOOTBALL-HARDYS PITCH - MINI 1                              </t>
  </si>
  <si>
    <t xml:space="preserve">FOOTBALL HARDYS PITCH - MINI 2                              </t>
  </si>
  <si>
    <t xml:space="preserve">CRICKET-SANDRINGHAM SPORTS                                  </t>
  </si>
  <si>
    <t>Cricket</t>
  </si>
  <si>
    <t xml:space="preserve">CRICKET-WEYMOUTH AVENUE                                     </t>
  </si>
  <si>
    <t xml:space="preserve">CRICKET-SALISBURY FIELD                                     </t>
  </si>
  <si>
    <t xml:space="preserve">SUNNINGHILL SCHOOL                                          </t>
  </si>
  <si>
    <t>GRANT RECEIVED - PLAY EQUIPMENT</t>
  </si>
  <si>
    <t>grants</t>
  </si>
  <si>
    <t>Grant for Play Equipment</t>
  </si>
  <si>
    <t xml:space="preserve">GRANT BOROUGH GARDENS REGENERATION                          </t>
  </si>
  <si>
    <t>Grant for Borough Gardens</t>
  </si>
  <si>
    <t xml:space="preserve">GRANT - ROMAN TOWN WALL                                     </t>
  </si>
  <si>
    <t>Grant for Roman Town Wall</t>
  </si>
  <si>
    <t xml:space="preserve">Grant Cricket Sq                                            </t>
  </si>
  <si>
    <t>Grant for Cricket Square</t>
  </si>
  <si>
    <t xml:space="preserve">RENT - SALISBURY FIELD                                      </t>
  </si>
  <si>
    <t>BG FLAT RENTAL INCOME</t>
  </si>
  <si>
    <t xml:space="preserve">RENT OF ST GEORGES RD                                       </t>
  </si>
  <si>
    <t xml:space="preserve">HIRE-BOROUGH GARDENS CLUBROOM                               </t>
  </si>
  <si>
    <t>Hire of Buildings</t>
  </si>
  <si>
    <t xml:space="preserve">HIRE - WEYMOUTH AVENUE PAVILION                             </t>
  </si>
  <si>
    <t xml:space="preserve">WATERING OF HANGING BASKETS                                 </t>
  </si>
  <si>
    <t>Watering/Making up Hanging Baskets</t>
  </si>
  <si>
    <t xml:space="preserve">TELEPHONE BOROUGH GARDENS                                   </t>
  </si>
  <si>
    <t xml:space="preserve">TELEPHONE SANDRINGHAM                                       </t>
  </si>
  <si>
    <t xml:space="preserve">TELPHONE - WEYMOUTH AVENUE                                  </t>
  </si>
  <si>
    <t xml:space="preserve">WAYLEAVE SALISBURY FIELD                                    </t>
  </si>
  <si>
    <t>Wayleave</t>
  </si>
  <si>
    <t>WAYLEAVE - SYWARD CLOSE</t>
  </si>
  <si>
    <t xml:space="preserve">WAYLEAVE - BOWLING ALLEY WALK                               </t>
  </si>
  <si>
    <t xml:space="preserve">ADMIN CHARGE GRASS CUTTING                                  </t>
  </si>
  <si>
    <t>Admin Fee - Grass Cutting</t>
  </si>
  <si>
    <t xml:space="preserve">GRASS CUTTING                                               </t>
  </si>
  <si>
    <t>Grass Cutting</t>
  </si>
  <si>
    <t xml:space="preserve">ADMIN CHARGE - OUTSIDE CONTRACTS/SERVICES                   </t>
  </si>
  <si>
    <t>Admin Charge - Outside Contracts</t>
  </si>
  <si>
    <t xml:space="preserve">RECHARGE - OUTSIDE CONTRACTS/SERVICES                       </t>
  </si>
  <si>
    <t>Recharge - Outside Organisations</t>
  </si>
  <si>
    <t xml:space="preserve">CONTRIBUTION TO HIGHWAY TREES                               </t>
  </si>
  <si>
    <t>Contribution - Tree Partnership</t>
  </si>
  <si>
    <t xml:space="preserve">SALE OF SCRAP                                               </t>
  </si>
  <si>
    <t>Sale of Scrap</t>
  </si>
  <si>
    <t xml:space="preserve">COMPENSATION RECEIVED - EDWARD ROAD PLAY AREA               </t>
  </si>
  <si>
    <t>COMPENSATION - PGOS</t>
  </si>
  <si>
    <t>CONTRIBUTIONS TO SALARY COSTS FROM THIRD PARTIES</t>
  </si>
  <si>
    <t>Contributions to salary costs from third parties</t>
  </si>
  <si>
    <t xml:space="preserve">TRAVELLING &amp; SUB - GARDENS                                  </t>
  </si>
  <si>
    <t>Travelling &amp; Subsistence</t>
  </si>
  <si>
    <t xml:space="preserve">RELOCATION EXPENSES                                         </t>
  </si>
  <si>
    <t>Relocation Expenses</t>
  </si>
  <si>
    <t xml:space="preserve">TRAINING COURSES-OUTDOOR STAFF                              </t>
  </si>
  <si>
    <t xml:space="preserve">GAS - BOROUGH GARDENS                                       </t>
  </si>
  <si>
    <t xml:space="preserve">GAS SANDRINGHAM                                             </t>
  </si>
  <si>
    <t xml:space="preserve">GAS - WEY AVE PAVILION                                      </t>
  </si>
  <si>
    <t>ELECTRICITY - BOROUGH GARDENS KIOSK</t>
  </si>
  <si>
    <t xml:space="preserve">ELECTRICITY - BOROUGH GARDENS - FLAT                        </t>
  </si>
  <si>
    <t xml:space="preserve">ELECTRICITY - BOROUGH GARDENS - PUBLIC TOILETS              </t>
  </si>
  <si>
    <t xml:space="preserve">ELECTRICITY - BOROUGH GARDENS COMMUNITY ROOM                </t>
  </si>
  <si>
    <t xml:space="preserve">ELECTRICITY B GARDENS                                       </t>
  </si>
  <si>
    <t xml:space="preserve">ELECTRICITY B GARDENS STOREROM                              </t>
  </si>
  <si>
    <t xml:space="preserve">ELECTRICITY B GARDENS CLOCK                                 </t>
  </si>
  <si>
    <t xml:space="preserve">ELECTRICITY B GARDENS BANDSTND                              </t>
  </si>
  <si>
    <t xml:space="preserve">ELECTRICITY B GARDENS FOUNTAIN                              </t>
  </si>
  <si>
    <t xml:space="preserve">ELECTRICITY SANDRINGHAM                                     </t>
  </si>
  <si>
    <t xml:space="preserve">ELECTRICITY WEYMOUTH AVE PAV                                </t>
  </si>
  <si>
    <t xml:space="preserve">ELECTRICITY - OTHER                                         </t>
  </si>
  <si>
    <t>water</t>
  </si>
  <si>
    <t>WATER-BOROUGH GARDENS COMMUNITY ROOMS</t>
  </si>
  <si>
    <t xml:space="preserve">WATER BOROUGH GARDENS                                       </t>
  </si>
  <si>
    <t xml:space="preserve">WATER FOUNTAIN/PADDLING POOL                                </t>
  </si>
  <si>
    <t xml:space="preserve">WATER-SANDRINGHAM                                           </t>
  </si>
  <si>
    <t xml:space="preserve">WATER WEYMOUTH AVE REC                                      </t>
  </si>
  <si>
    <t xml:space="preserve">RENT- WEYMOUTH AVE REC                                      </t>
  </si>
  <si>
    <t xml:space="preserve">RENT-KINGS ROAD PLAYING FIELD                               </t>
  </si>
  <si>
    <t xml:space="preserve">RENT-MAUMBURY RINGS                                         </t>
  </si>
  <si>
    <t xml:space="preserve">RENT-OLD SAWMILLS WEYMOUTH AVE                              </t>
  </si>
  <si>
    <t xml:space="preserve">RENT OF STORAGE UNIT POUNDBURY                              </t>
  </si>
  <si>
    <t>Rent Poundbury Storage</t>
  </si>
  <si>
    <t xml:space="preserve">RATES - BOROUGH GARDENS FLAT                                </t>
  </si>
  <si>
    <t xml:space="preserve">RATES-BOROUGH GRDENS CLUBHOUSE                              </t>
  </si>
  <si>
    <t xml:space="preserve">TELEPHONE - BOROUGH GARDENS KIOSK                           </t>
  </si>
  <si>
    <t xml:space="preserve">BOROUGH GARDENS - COMMUNITY ROOM - TELEPHONE                </t>
  </si>
  <si>
    <t xml:space="preserve">BOROUGH GARDENS - GARDENER'S FACILITY BUILDING - TELEPHONE  </t>
  </si>
  <si>
    <t xml:space="preserve">TELEPHONE-BOROUGH GARDENS                                   </t>
  </si>
  <si>
    <t xml:space="preserve">PHONE-B/G CLUBROOM                                          </t>
  </si>
  <si>
    <t xml:space="preserve">TELEPHONE-SANDRINGHAM LEISURE                               </t>
  </si>
  <si>
    <t xml:space="preserve">TELEPHONE-WEYMOUTH AVE PAV                                  </t>
  </si>
  <si>
    <t xml:space="preserve">PAYPHONE - LOUDS MILL DEPOT                                 </t>
  </si>
  <si>
    <t xml:space="preserve">MOBILE PHONE - GARDEN SECTION                               </t>
  </si>
  <si>
    <t>telephone</t>
  </si>
  <si>
    <t xml:space="preserve">MOBILE PHONES - OUTSIDE SECTION                             </t>
  </si>
  <si>
    <t>FURNITURE &amp; FITTINGS - BOROUGH GARDENS PUBLIC TOILETS</t>
  </si>
  <si>
    <t>Tools, Equipment &amp; Consumables</t>
  </si>
  <si>
    <t>FURNITURE &amp; FITTINGS - BOROUGH GARDENS COMMUNITY ROOM</t>
  </si>
  <si>
    <t xml:space="preserve">FURNITURE &amp; FITTINGS B/GARDENS                              </t>
  </si>
  <si>
    <t>FURNITURE &amp; FITTINGS - BANDSTAND</t>
  </si>
  <si>
    <t xml:space="preserve">FURNITURE &amp; FITTINGS - WEY AVE PAVILION                     </t>
  </si>
  <si>
    <t xml:space="preserve">FURNITURE &amp; FITTINGS - LOUDS MILL DEPOT                     </t>
  </si>
  <si>
    <t xml:space="preserve">FURNITURE &amp; FITTINGS - BOROUGH GARDENS                      </t>
  </si>
  <si>
    <t>CLEANING - WAGES, MATERIALS &amp; EQUIPMENT - PUBLIC TOILETS BG</t>
  </si>
  <si>
    <t xml:space="preserve">CLEANING - WAGES,MATS &amp; EQUIP COMMUNITY ROOM BG             </t>
  </si>
  <si>
    <t>CLEANING MATERIALS - GARDENER'S FACILITY BUILDING</t>
  </si>
  <si>
    <t xml:space="preserve">CLEANING MATERIALS - B/G                                    </t>
  </si>
  <si>
    <t xml:space="preserve">CLEANING-B/G FOUNTAIN                                       </t>
  </si>
  <si>
    <t xml:space="preserve">CLEANING - SANDRINGHAM LEISURE                              </t>
  </si>
  <si>
    <t xml:space="preserve">CLEANING-WAGES,MATS &amp; EQUIP - WEY AVE                       </t>
  </si>
  <si>
    <t xml:space="preserve">CLEANING-WEY AVE REC PAVILION                               </t>
  </si>
  <si>
    <t xml:space="preserve">GENERAL MAINTENANCE - PREMISES - B/G KIOSK                  </t>
  </si>
  <si>
    <t>GENERAL MAINTENANCE - PREMISES - B/G COMMUNITY ROOMS</t>
  </si>
  <si>
    <t xml:space="preserve">CLEANING-WAGES,MATS&amp;EQUIP - GARDENER'S FACILITY BUILDING    </t>
  </si>
  <si>
    <t>GENERAL MAINTENANCE - PREMISES - BOWLS PAVILION BG</t>
  </si>
  <si>
    <t xml:space="preserve">GENMAINT-B/G HOUSE                                          </t>
  </si>
  <si>
    <t xml:space="preserve">GEN MAINT PREMISES                                          </t>
  </si>
  <si>
    <t xml:space="preserve">GENMAINT-B/G-CLUBROOM                                       </t>
  </si>
  <si>
    <t xml:space="preserve">GEN MAINT B GARDENS CLOCK                                   </t>
  </si>
  <si>
    <t xml:space="preserve">GENMAINT-WEY AVE REC                                        </t>
  </si>
  <si>
    <t xml:space="preserve">GENERAL MAINT WEY AVE PAVILION                              </t>
  </si>
  <si>
    <t xml:space="preserve">GENERAL MAINTENANCE - PREMISES - MAUMBURY RINGS             </t>
  </si>
  <si>
    <t>GENERAL MAINTENANCE - SECURITY - B/G COMMUNITY ROOM</t>
  </si>
  <si>
    <t>GENERAL MAINTENANCE - SECURITY SYSTEM - GARDENER'S FACILITY</t>
  </si>
  <si>
    <t xml:space="preserve">GENERAL MAINTENANCE - SECURITY - BOROUGH GARDENS            </t>
  </si>
  <si>
    <t xml:space="preserve">GENMAINT-SECURITY-B/G HOUSE                                 </t>
  </si>
  <si>
    <t>GENERAL MAINTENANCE - SECURITY - BANDSTAND</t>
  </si>
  <si>
    <t xml:space="preserve">GANMAINT-SECURITY-SANDRINGHAM                               </t>
  </si>
  <si>
    <t xml:space="preserve">GENMAINT-SECURITY-WEY AVE REC                               </t>
  </si>
  <si>
    <t xml:space="preserve">GENERAL MAINTENANCE - SECURITY SYSTEM - PAVILION            </t>
  </si>
  <si>
    <t xml:space="preserve">GENERAL MAINTENANCE - SECURITY SYSTEM - MAUMBURY RINGS      </t>
  </si>
  <si>
    <t>GENERAL MAINTENANCE - SECURITY SYSTEM - LOUDS MILL DEPOT</t>
  </si>
  <si>
    <t xml:space="preserve">GENERAL MAINTANANCE - FIRE EQUIP - KIOSK                    </t>
  </si>
  <si>
    <t>GENERAL MAINTENANCE - FIRE EQUIPMENT - B/G FLAT</t>
  </si>
  <si>
    <t xml:space="preserve">GENERAL MAINTENANCE - FIRE EQUIP - COMMUNITY ROOM           </t>
  </si>
  <si>
    <t>GENERAL MAINTENANCE - FIRE EQUIP - GARDENER'S FACILITY BUILD</t>
  </si>
  <si>
    <t xml:space="preserve">GENERAL MAINTENANCE - FIRE EQUIP - BOWLS PAVILION           </t>
  </si>
  <si>
    <t xml:space="preserve">GENMAINT-FIRE EQUIP-B/G CLUB                                </t>
  </si>
  <si>
    <t xml:space="preserve">GENMAINT-FIRE EQUIP-SANDRINGHAM                             </t>
  </si>
  <si>
    <t xml:space="preserve">GENMAINT-FIRE EQUIP-WEY AVEREC                              </t>
  </si>
  <si>
    <t>GENERAL MAINTENANCE - FIRE EQUIPMENT - LOUDS MILL DEPOT</t>
  </si>
  <si>
    <t xml:space="preserve">GEN MAINT FIRE EQUIP                                        </t>
  </si>
  <si>
    <t>GENERAL MAINTENANCE - OTHER - B/G FLAT</t>
  </si>
  <si>
    <t xml:space="preserve">GENERAL MAINTENANCE - BOROUGH GARDENS PUBLIC TOILETS        </t>
  </si>
  <si>
    <t xml:space="preserve">GENERAL MAINTENANCE - OTHER - GARDENER'S FACILITY BUILDING  </t>
  </si>
  <si>
    <t>GENERAL MAINTENANCE - OTHER - B/G BOWLS PAVILION</t>
  </si>
  <si>
    <t xml:space="preserve">GENMAINT-OTHER-BOROUGH GARDENS                              </t>
  </si>
  <si>
    <t>GENERAL MAINTENANCE - OTHER BOROUGH GARDENS</t>
  </si>
  <si>
    <t xml:space="preserve">GENERAL MAINTENANCE - OTHER - BOROUGH GARDENS STOREROOM     </t>
  </si>
  <si>
    <t>GENERAL MAINTENANCE - OTHER - BOROUGH GARDENS CLOCK</t>
  </si>
  <si>
    <t xml:space="preserve">GENERAL MAINTENANCE - BANDSTAND                             </t>
  </si>
  <si>
    <t>GENERAL MAINTENANCE - OTHER - B/G FOUNTAIN</t>
  </si>
  <si>
    <t xml:space="preserve">GENERAL MAINTENANCE - OTHER- SANDRINGHAM                    </t>
  </si>
  <si>
    <t xml:space="preserve">GENMAINT-OTHER-WEY AVE REC                                  </t>
  </si>
  <si>
    <t xml:space="preserve">WEYMOUTH AVENUE REC PAVILION                                </t>
  </si>
  <si>
    <t xml:space="preserve">GENERAL MAINTENANCE - OTHER - KINGS ROAD PLAYING FIELD      </t>
  </si>
  <si>
    <t xml:space="preserve">GENERAL MAINTENANCE - OTHER - MAUMBURY RINGS                </t>
  </si>
  <si>
    <t>Transport - Pick-up</t>
  </si>
  <si>
    <t xml:space="preserve">T707 GPR- NEW TRANSIT                                       </t>
  </si>
  <si>
    <t>TEMPORARY VEHICLE HIRE</t>
  </si>
  <si>
    <t xml:space="preserve">KUBOTA TRACTOR H178 KJT FUEL                                </t>
  </si>
  <si>
    <t xml:space="preserve">KUBOTA TRACTOR-REPAIRS &amp; MAINT                              </t>
  </si>
  <si>
    <t xml:space="preserve">KUBOTA TRACTOR H178 KJT-TAX,IN                              </t>
  </si>
  <si>
    <t>JACOBSEN MOWER YH51 CDJ - MOTOR FUEL</t>
  </si>
  <si>
    <t xml:space="preserve">JACOBSEN G459 GEL REPAIRS/MAIN                              </t>
  </si>
  <si>
    <t>Mowers - Fuel &amp; Repairs</t>
  </si>
  <si>
    <t xml:space="preserve">JACOBSEN G459 GEL TAX &amp; INSUR                               </t>
  </si>
  <si>
    <t xml:space="preserve">MOWERS MOTOR FUEL                                           </t>
  </si>
  <si>
    <t xml:space="preserve">MOWERS REPAIRS &amp; MAINTENANCE                                </t>
  </si>
  <si>
    <t xml:space="preserve">EQUIPMENT SERVICING/SPARES                                  </t>
  </si>
  <si>
    <t>Equipment Service</t>
  </si>
  <si>
    <t xml:space="preserve">T236 BBN VAUXHALL BRAVA - REPAIRS                           </t>
  </si>
  <si>
    <t xml:space="preserve">REPAIRS &amp; RENEWALS - PLAY EQUIPMENT - BOROUGH GARDENS PLAY  </t>
  </si>
  <si>
    <t xml:space="preserve">REPAIRS-PLAY EQUIP-B/GARDENS                                </t>
  </si>
  <si>
    <t xml:space="preserve">REPAIRS-PLAYEQUIP-SANDRINGHAM                               </t>
  </si>
  <si>
    <t xml:space="preserve">REPAIRS&amp;RENEWPLAY EQUIPKINGSRD                              </t>
  </si>
  <si>
    <t xml:space="preserve">REPAIRS-PLAY EQUIP-CASTLE PARK                              </t>
  </si>
  <si>
    <t xml:space="preserve">REPAIRS&amp;RENEWALS-PLAY EQUIP-SALISBURY FIELD                 </t>
  </si>
  <si>
    <t xml:space="preserve">REPAIRS-PLAY EQUIP-WESSEX ROAD                              </t>
  </si>
  <si>
    <t xml:space="preserve">REPAIRS &amp; RENEWALS - PLAY EQUIP - ELIZABETH PLACE           </t>
  </si>
  <si>
    <t xml:space="preserve">REPAIRS &amp; RENEWALS - PLAYGROUND EQUIPMENT - EDWARD ROAD     </t>
  </si>
  <si>
    <t xml:space="preserve">REPAIRS &amp; RENEWALS PLAY EQUIP - SYWARD CLOSE                </t>
  </si>
  <si>
    <t xml:space="preserve">REPAIRS&amp;RENEWALS-PLAY EQUIPMENT-KINGS PARK                  </t>
  </si>
  <si>
    <t xml:space="preserve">REP&amp;RENEW-PLAYEQUIP-MELLSTOCK                               </t>
  </si>
  <si>
    <t xml:space="preserve">REP&amp;RENEW-PLAY EQUIP-MAIDEN CA                              </t>
  </si>
  <si>
    <t xml:space="preserve">REP &amp; RENEWALS - PLAYGROUND EQUIP - HOLMEAD WALK            </t>
  </si>
  <si>
    <t xml:space="preserve">REP &amp; RENEWAL-PLAYGROUND EQUIP                              </t>
  </si>
  <si>
    <t>PLAYGROUND FENCING - WOODLAND CRESENT PLAY AREA</t>
  </si>
  <si>
    <t xml:space="preserve">PLAY AREA FENCING                                           </t>
  </si>
  <si>
    <t xml:space="preserve">GENMAINT-FENCING-B/G                                        </t>
  </si>
  <si>
    <t xml:space="preserve">GENERAL MAINTENANCE - FENCING - SANDRINGHAM                 </t>
  </si>
  <si>
    <t>Repairs &amp; Maintenance - Sports Facilities</t>
  </si>
  <si>
    <t xml:space="preserve">GEN MAINT-FENCING-WEYMOUTH AVE                              </t>
  </si>
  <si>
    <t>Repairs &amp; Maintenance - Gardens/Amenity Areas</t>
  </si>
  <si>
    <t xml:space="preserve">GEN MAINT-FENCING-CASTLE PARK REC                           </t>
  </si>
  <si>
    <t xml:space="preserve">GENERAL MAINTENANCE - FENCING - SALISBURY FIELD             </t>
  </si>
  <si>
    <t xml:space="preserve">GENERAL MAINTENANCE - FENCING - WALKS                       </t>
  </si>
  <si>
    <t xml:space="preserve">GENERAL MAINTENANCE - FENCING - POUNDBURY CRESCENT          </t>
  </si>
  <si>
    <t xml:space="preserve">GENERAL MAINTENANCE - FENCING - ELIZABETH PLACE             </t>
  </si>
  <si>
    <t xml:space="preserve">GENERAL MAINTENANCE - FENCING - EDWARD ROAD                 </t>
  </si>
  <si>
    <t xml:space="preserve">GENERAL MAINTENANCE - FENCING - KENSINGTON WALKS            </t>
  </si>
  <si>
    <t>GENERAL MAINTENANCE - FENCING - SYWARD CLOSE</t>
  </si>
  <si>
    <t xml:space="preserve">GENERAL MAINTENANCE - FENCING - KINGS PARK                  </t>
  </si>
  <si>
    <t xml:space="preserve">GENERAL MAINTENANCE - FENCING - MELLSTOCK AVENUE            </t>
  </si>
  <si>
    <t>GENERAL MAINTENANCE - FENCING - MAUMBURY RINGS</t>
  </si>
  <si>
    <t xml:space="preserve">GENERAL MAINTENANCE - FENCING - HOLMEAD WALK                </t>
  </si>
  <si>
    <t>GENERAL MAINTENANCE - FENCING - LOUDS MILL DEPOT</t>
  </si>
  <si>
    <t>GENERAL MAINTENANCE - FENCING - RIVER WALK</t>
  </si>
  <si>
    <t xml:space="preserve">GENERAL MAINTENANCE - FENCING - ROMAN WALL                  </t>
  </si>
  <si>
    <t xml:space="preserve">GENERAL MAINTENANCE - FENCING                               </t>
  </si>
  <si>
    <t xml:space="preserve">GEN MAINTENANCE-HANGING BASKET                              </t>
  </si>
  <si>
    <t xml:space="preserve">GENMAINT-SEATS-BOROUGH GARDENS                              </t>
  </si>
  <si>
    <t>GENERAL MAINTENANCE - SEATS - SANDRINGHAM</t>
  </si>
  <si>
    <t xml:space="preserve">GENERAL MAINTENANCE - SEATS - WEY AVE                       </t>
  </si>
  <si>
    <t xml:space="preserve">GENERAL MAINTENANCE - SEATS - KINGS ROAD PLAYING FEILD      </t>
  </si>
  <si>
    <t>GENERAL MAINTENANCE - SEATS - CASTLE PARK REC</t>
  </si>
  <si>
    <t xml:space="preserve">GEN MAINT- SEATS-SALISBURY FIELD                            </t>
  </si>
  <si>
    <t xml:space="preserve">GENMAINT-SEATS - WALKS                                      </t>
  </si>
  <si>
    <t xml:space="preserve">GENERAL MAINTENANCE - SEATS - POUNDBURY CRESCENT            </t>
  </si>
  <si>
    <t>GENERAL MAINTENANCE - SEATS - SYWARD CLOSE</t>
  </si>
  <si>
    <t>GENERAL MAINTENANCE - SEATS - KINGS PARK</t>
  </si>
  <si>
    <t>GENERAL MAINTENANCE - SEATS - RIVER WALK</t>
  </si>
  <si>
    <t xml:space="preserve">GENERAL MAINT-SEATS                                         </t>
  </si>
  <si>
    <t xml:space="preserve">GEN MAINT-GRASSCUTTING                                      </t>
  </si>
  <si>
    <t xml:space="preserve">GENERAL MAINTENANCE - FLOWER BEDS - BOROUGH GARDENS         </t>
  </si>
  <si>
    <t xml:space="preserve">GENERAL MAINTENANCE - FLOWER BEDS - WALKS                   </t>
  </si>
  <si>
    <t xml:space="preserve">GENERAL MAINTENANCE - FLOWER BEDS - SAWMILLS         </t>
  </si>
  <si>
    <t xml:space="preserve">GEN MAINT FLOWER BEDS B GARDEN                              </t>
  </si>
  <si>
    <t xml:space="preserve">GENERAL MAINTENANCE - TREES &amp; SHRUBS B/G                    </t>
  </si>
  <si>
    <t xml:space="preserve">GENERAL MAINTENANCE - TREES &amp; SHRUBS - SANDRINGHAM          </t>
  </si>
  <si>
    <t xml:space="preserve">GENERAL MAINTENANCE - TREES &amp; SHRUBS - SALISBURY FIELD      </t>
  </si>
  <si>
    <t xml:space="preserve">GENERAL MAINTENANCE - TREES &amp; SHRUBS - WALKS                </t>
  </si>
  <si>
    <t>GENERAL MAINTENANCE - TREES &amp; SHRUBS - ELIZABETH PLACE</t>
  </si>
  <si>
    <t xml:space="preserve">GENERAL MAINTENANCE - TREES &amp; SHRUBS - SYWARD CLOSE         </t>
  </si>
  <si>
    <t xml:space="preserve">GENERAL MAINTENANCE - TREES &amp; SHRUBS - KINGS PARK           </t>
  </si>
  <si>
    <t xml:space="preserve">GENERAL MAINTENANCE - TREES &amp; SHRUBS - MELLSTOCK AVENUE     </t>
  </si>
  <si>
    <t>GENERAL MAINTENANCE - SHRUBS &amp; TREES - FORDINGTON GREEN</t>
  </si>
  <si>
    <t xml:space="preserve">GENERAL MAINTENANCE - TREES &amp; SHRUBS - NORTHERNHAY          </t>
  </si>
  <si>
    <t>GENERAL MAINTENANCE - TREES &amp; SHRUBS - SAWMILLS</t>
  </si>
  <si>
    <t>GENERAL MAINTENANCE - TREES &amp; SHRUBS - GARDEN OF REMEMBRANCE</t>
  </si>
  <si>
    <t>GENERAL MAINTENANCE - TREES &amp; SHRUBS - HAWTHORN ROAD</t>
  </si>
  <si>
    <t>GENERAL MAINTENANCE - TREES &amp; SHRUBS - ST GEORGE'S ROAD</t>
  </si>
  <si>
    <t xml:space="preserve">GENERAL MAINTENANCE - TREES &amp; SHRUBS - FROME TERRACE        </t>
  </si>
  <si>
    <t xml:space="preserve">GENERAL MAINT- TREES &amp; SHRUBS - RIVER WALK                  </t>
  </si>
  <si>
    <t xml:space="preserve">GEN MAINT TREES &amp; SHRUBS                                    </t>
  </si>
  <si>
    <t xml:space="preserve">GEN MAINT GREENHOUSES BOR GDNS                              </t>
  </si>
  <si>
    <t>GENERAL MAINTENANCE - GREENHOUSE</t>
  </si>
  <si>
    <t xml:space="preserve">GENERAL MAINTENANCE - MONUMENTS - B/G CLOCK                 </t>
  </si>
  <si>
    <t xml:space="preserve">GENERAL MAINTENANCE - MONUMENTS - BANDSTAND                 </t>
  </si>
  <si>
    <t>GENERAL MAINTENANCE - MONUMENTS - B/G FOUNTAIN</t>
  </si>
  <si>
    <t xml:space="preserve">GENERAL MAINTENANCE - MONUMENTS - WALKS                     </t>
  </si>
  <si>
    <t xml:space="preserve">GEN MAINT-MONUMENTS-ROMAN WALL                              </t>
  </si>
  <si>
    <t xml:space="preserve">GENMAINT-MONUMENTS                                          </t>
  </si>
  <si>
    <t xml:space="preserve">GENMAINT-PATHS-GARDENS                                      </t>
  </si>
  <si>
    <t xml:space="preserve">GENERAL MAINTENANCE - PATHS - SANDRINGHAM                   </t>
  </si>
  <si>
    <t xml:space="preserve">GENERAL MAINTENANCE - PATHS - SALISBURY FIELD               </t>
  </si>
  <si>
    <t xml:space="preserve">GENERAL MAINTENANCE - PATHS - WALKS             </t>
  </si>
  <si>
    <t>GENERAL MAINTENANCE - PATHS - OLD SAWMILLS SITE</t>
  </si>
  <si>
    <t>GENERAL MAINTENANCE - PATHS - RIVER WALK</t>
  </si>
  <si>
    <t xml:space="preserve">GENMAINT-PATHS                                              </t>
  </si>
  <si>
    <t>GENERAL MAINTENANCE - PLAY EQUIPMENT - B/G PLAY AREA</t>
  </si>
  <si>
    <t>Repairs &amp; Maintenance - Play Equipment</t>
  </si>
  <si>
    <t xml:space="preserve">GENMAINT-PLAYEQUIP-GARDENS                                  </t>
  </si>
  <si>
    <t>GENERAL MAINTENANCE-PLAY EQUIPMENT-FOUNTAIN</t>
  </si>
  <si>
    <t xml:space="preserve">GENMAINT-PLAYEQUIP-SANDRINGHAM                              </t>
  </si>
  <si>
    <t xml:space="preserve">GENMAINT-PLAYEQUIPKINGSRD                                   </t>
  </si>
  <si>
    <t xml:space="preserve">GENMAINT-PLAY EQUIP-CASTLEPARK                              </t>
  </si>
  <si>
    <t xml:space="preserve">GENERAL MAINTENANCE - PLAY EQUIP - SALISBURY FIELD          </t>
  </si>
  <si>
    <t xml:space="preserve">GENMAINT-PLAYGRD/WESSEX RD                                  </t>
  </si>
  <si>
    <t xml:space="preserve">GENMAINT-PLAYEQUIP ELIZABETHPL                              </t>
  </si>
  <si>
    <t xml:space="preserve">GENMAINT-PLAYEQUIP-EDWARD ROAD                              </t>
  </si>
  <si>
    <t xml:space="preserve">GENMAINT-PLAYEQUIP-KENSINGTON                               </t>
  </si>
  <si>
    <t xml:space="preserve">GEN MAINT PLAY EQUIP SYWARD CL                              </t>
  </si>
  <si>
    <t xml:space="preserve">GENMAINT-PLAYEQUIPKINGSPRK                                  </t>
  </si>
  <si>
    <t xml:space="preserve">GENMAINT-MELLSTOCK AVE PLAYGRD                              </t>
  </si>
  <si>
    <t xml:space="preserve">GENMAINT-PLAYEQUIP-MAIDENCASTL                              </t>
  </si>
  <si>
    <t>GENERAL MAINTENANCE - PLAY EQUIPMENT - WOODLAND CRESCENT</t>
  </si>
  <si>
    <t xml:space="preserve">GENERAL MAINTENANCE - PLAY EQUIP - CHARLES STREET           </t>
  </si>
  <si>
    <t xml:space="preserve">GENERAL MAINTENANCE - PLAY EQUIP - HOLMEAD WALK PLAY AREA   </t>
  </si>
  <si>
    <t xml:space="preserve">GEN MAINT-PLAY EQUIPMENT                                    </t>
  </si>
  <si>
    <t xml:space="preserve">GENERAL MAINTENANCE - POOL/FOUNTAIN - B/G                   </t>
  </si>
  <si>
    <t xml:space="preserve">GEN MAINT B GARDENS FOUNTAIN                                </t>
  </si>
  <si>
    <t xml:space="preserve">GENERAL MAINTENANACE - LITTER BINS - BOROUGH GARDENS        </t>
  </si>
  <si>
    <t>GENERAL MAINTENANCE - LITTER BINS - WEY AVE REC</t>
  </si>
  <si>
    <t>GENERAL MAINTENANCE - LITTER BINS - PAVILION</t>
  </si>
  <si>
    <t xml:space="preserve">GENERAL MAINTENANCE - LITTER BINS - THE WALKS               </t>
  </si>
  <si>
    <t xml:space="preserve">GENERAL MAINTENANCE - LITTER BINS - KINGS PARK              </t>
  </si>
  <si>
    <t xml:space="preserve">GEN MAINT LITTER BINS                                       </t>
  </si>
  <si>
    <t xml:space="preserve">GEN MAINT - B/G KIOSK                                       </t>
  </si>
  <si>
    <t>GENERAL MAINTENANCE - B/G PLAY AREA</t>
  </si>
  <si>
    <t xml:space="preserve">GEN MAINT B GARDENS                                         </t>
  </si>
  <si>
    <t xml:space="preserve">GENMAINT-B/G-CLOCK                                          </t>
  </si>
  <si>
    <t xml:space="preserve">GENERAL MAINTENANCE - B/G BANDSTAND                         </t>
  </si>
  <si>
    <t xml:space="preserve">GEN MAINT-SANDRINGHAM                                       </t>
  </si>
  <si>
    <t xml:space="preserve">GENMAINT/WEY AVE REC                                        </t>
  </si>
  <si>
    <t xml:space="preserve">GEN MAINT-OTHER-REC PAVILION                                </t>
  </si>
  <si>
    <t xml:space="preserve">GENERAL MAINTENANCE - OTHER - CASTLE PARK REC               </t>
  </si>
  <si>
    <t>GENERAL MAINTENANCE - OTHER - SALISBURY FIELD</t>
  </si>
  <si>
    <t xml:space="preserve">GENERAL MAINTENANCE - OTHER - WALKS                         </t>
  </si>
  <si>
    <t xml:space="preserve">GENERAL MAINTENANCE - OTHER - POUNDBURY CRESCENT            </t>
  </si>
  <si>
    <t xml:space="preserve">GENERAL MAINTENANCE - OTHER - ELIZABETH PLACE               </t>
  </si>
  <si>
    <t xml:space="preserve">GENERAL MAINTENANCE - OTHER - EDWARD ROAD                   </t>
  </si>
  <si>
    <t>GENERAL MAINTENANCE - OTHER - SYWARD CLOSE</t>
  </si>
  <si>
    <t xml:space="preserve">GENERAL MAINTENANCE - OTHER - KINGS PARK                    </t>
  </si>
  <si>
    <t xml:space="preserve">GENERAL MAINTENANCE OTHER - MELLSTOCK AVENUE                </t>
  </si>
  <si>
    <t>GENERAL MAINTENANCE - OTHER - FORDINGTON GREEN</t>
  </si>
  <si>
    <t xml:space="preserve">GENERAL MAINTENANCE -OTHER - MAIDEN CASTLE PLAY AREA        </t>
  </si>
  <si>
    <t xml:space="preserve">GENERAL MAINTENANCE - OTHER - JOHNS POND                    </t>
  </si>
  <si>
    <t>GENERAL MAINTENANCE - OTHER - OLD SAWMILLS SITE</t>
  </si>
  <si>
    <t xml:space="preserve">GENERAL MAINTENANCE - OTHER - CHARLES ST. CAR PARK          </t>
  </si>
  <si>
    <t>GENERAL MAINTENANCE - OTHER - LOUDS MILL</t>
  </si>
  <si>
    <t>GENERAL MAINTENANCE - OTHER - RIVER WALK</t>
  </si>
  <si>
    <t xml:space="preserve">WATER FEATURE - PRINCES STREET                              </t>
  </si>
  <si>
    <t xml:space="preserve">GENERAL MAINTENANCE - GARDEN OF REMEMBRANCE                 </t>
  </si>
  <si>
    <t xml:space="preserve">OUTSIDE CONTRACTS - GARDENS                                 </t>
  </si>
  <si>
    <t>Outside Contracts</t>
  </si>
  <si>
    <t xml:space="preserve">WALKS - SWEEPING                                            </t>
  </si>
  <si>
    <t>Cleaning Contract - WDDC</t>
  </si>
  <si>
    <t xml:space="preserve">SPORTS MAINT-BOWLS GREEN B/G                                </t>
  </si>
  <si>
    <t xml:space="preserve">SPORTS MAINT CRICKET WMTH AVE                               </t>
  </si>
  <si>
    <t xml:space="preserve">SPORTSMAINT-CRICKET SQUARE-GENERAL                          </t>
  </si>
  <si>
    <t xml:space="preserve">SPORTS MAINT-FOOTBALL SANDRING                              </t>
  </si>
  <si>
    <t xml:space="preserve">SPORTS MAINT-FOOTBALL WMTH AVE                              </t>
  </si>
  <si>
    <t xml:space="preserve">SPORTS MAINTENANCE - FOOTBALL - PAVILION                    </t>
  </si>
  <si>
    <t xml:space="preserve">SPORTSMAINT-FOOTBALL-KINGS RD                               </t>
  </si>
  <si>
    <t xml:space="preserve">SPORTS MAIN-FOOTBALL-HARDYES                                </t>
  </si>
  <si>
    <t xml:space="preserve">SPORTS MAINT-FOOTBALL-HADYES PITCH 2                        </t>
  </si>
  <si>
    <t xml:space="preserve">SPORTS MAINTENANCE - FOOTBALL - SYWARD CLOSE                </t>
  </si>
  <si>
    <t xml:space="preserve">SPORTS MAINTENANCE - FOOTBALL - MELLSTOCK AVENUE            </t>
  </si>
  <si>
    <t xml:space="preserve">SPORTS MAINTENANCE - FOOTBALL - WOODLAND CRESCENT PLAY AREA </t>
  </si>
  <si>
    <t xml:space="preserve">SPORTS MAINTENANCE - FOOTBALL - HOLMEAD WALK                </t>
  </si>
  <si>
    <t xml:space="preserve">SPORTS MAINT                                                </t>
  </si>
  <si>
    <t xml:space="preserve">SPORTS MAINT-OUTFIELD-WEY AVE                               </t>
  </si>
  <si>
    <t xml:space="preserve">SPORTS MAINT - OUTFIELD - GENERAL                           </t>
  </si>
  <si>
    <t xml:space="preserve">SPORTS MAINTENANCE - PETANQUE - SANDRINGHAM                 </t>
  </si>
  <si>
    <t xml:space="preserve">SPORT MAINT-TENNIS COURTS B/G                               </t>
  </si>
  <si>
    <t xml:space="preserve">SPORTS MAINTENANCE - TENNIS COURTS - OTHER                  </t>
  </si>
  <si>
    <t>SPORTS MAINTENANCE - PUTTING GREEN - BOROUGH GARDENS</t>
  </si>
  <si>
    <t xml:space="preserve">ELECTRICITY - BOROUGH GARDENS KIOSK                         </t>
  </si>
  <si>
    <t>TOOLS, EQUIP &amp; CONSUMABLES - BOROUGH GARDENS FLAT</t>
  </si>
  <si>
    <t xml:space="preserve">TOOLS, EQUIP, CONSUMABLES - B/G COMMUNITY ROOM              </t>
  </si>
  <si>
    <t xml:space="preserve">TOOLS, EQUIP &amp; CONSUMABLES - GARDENER'S FACILITY BUILDING   </t>
  </si>
  <si>
    <t>TOOLS, EQUIPMENT &amp; CONSUMABLES - BOWLS PAVILION</t>
  </si>
  <si>
    <t>TOOLS, EQUIP, CONSUMABLES - BOROUGH GARDENS PLAY AREA</t>
  </si>
  <si>
    <t xml:space="preserve">TOOLS, EQUIP, CONSUMABLES - B/G HOUSE                       </t>
  </si>
  <si>
    <t xml:space="preserve">CONSUMABLES - BOROUGH GARDENS                               </t>
  </si>
  <si>
    <t xml:space="preserve">CONSUMABLES B/G STOREROOM                                   </t>
  </si>
  <si>
    <t>TOOLS, EQUIP &amp; CONSUMABLES - BOROUGH GARDENS CLOCK</t>
  </si>
  <si>
    <t xml:space="preserve">TOOLS,EQUIP&amp;CONSU-BANDSTAND                                 </t>
  </si>
  <si>
    <t>TOOLS, EQUIP &amp; CONSUMABLES - FOUNTAIN BOX B/G</t>
  </si>
  <si>
    <t xml:space="preserve">TOOLS, EQUIPMENT, CONSUMABLES - SANDRINGHAM                 </t>
  </si>
  <si>
    <t xml:space="preserve">TOOLS,EQUIP &amp; CONSUMABLES-REC                               </t>
  </si>
  <si>
    <t xml:space="preserve">CONSUMABLES-REC PAVILION                                    </t>
  </si>
  <si>
    <t xml:space="preserve">LITTER BINS - ADDITIONAL - KINGS ROAD PLAYING FIELD         </t>
  </si>
  <si>
    <t>TOOLS, EQUIPMENT, CONSUMABLES - CASTLE PARK REC</t>
  </si>
  <si>
    <t>TOOLS, EQUIPMENT, CONSUMABLES - WALKS</t>
  </si>
  <si>
    <t>TOOLS, EQUIP, CONSUMABLES - ELIZABETH PLACE PLAY AREA</t>
  </si>
  <si>
    <t>TOOLS, EQUIP &amp; CONUMABLES - FORDINGTON GREEN</t>
  </si>
  <si>
    <t xml:space="preserve">TOOLS, EQUIP, CONSUMABLES - MAUMBURY RINGS                  </t>
  </si>
  <si>
    <t xml:space="preserve">TOOLS,EQUIP,CONS-MARKET SHED                                </t>
  </si>
  <si>
    <t xml:space="preserve">TOOLS, EQUIPMENT, CONSUMABLES - STORAGE UNIT POUNDBURY      </t>
  </si>
  <si>
    <t>TOOLS, EQUIP &amp; CONSUMABLES - CHARLES STREET CAR PARK</t>
  </si>
  <si>
    <t>TOOLS, EQUIP &amp; CONSUMABLES - LOUDS MILL DEPOT</t>
  </si>
  <si>
    <t xml:space="preserve">TOOLS,EQUIP,CONSUMABLES                                     </t>
  </si>
  <si>
    <t>LITTER BINS - BOROUGH GARDENS</t>
  </si>
  <si>
    <t xml:space="preserve">LITTER BINS - ADDITIONAL - SANDRINGHAM                      </t>
  </si>
  <si>
    <t>LITTER BINS - SALISBURY FIELD</t>
  </si>
  <si>
    <t>LITTER BINS - WALKS</t>
  </si>
  <si>
    <t xml:space="preserve">LITTER BINS - ADDITIONAL - WESSEX ROAD                      </t>
  </si>
  <si>
    <t xml:space="preserve">LITTER BINS - ADDITIONAL - MAUMBURY RINGS                   </t>
  </si>
  <si>
    <t xml:space="preserve">LITTER BINS - ADDITIONAL                                    </t>
  </si>
  <si>
    <t xml:space="preserve">PEST CONTROL - KINGS ROAD PLAYING FIELD                     </t>
  </si>
  <si>
    <t>HEALTH &amp; SAFETY - BOROUGH GARDENS PUBLIC TOILET</t>
  </si>
  <si>
    <t>HEALTH &amp; SAFETY EQUIPMENT - COMMUNITY ROOM BG</t>
  </si>
  <si>
    <t>HEALTH &amp; SAFETY EQUIPMENT - GARDENERS FACILITY BUILDING BG</t>
  </si>
  <si>
    <t>HEALTH &amp; SAFETY - BOROUGH GARDENS BOWLS PAVILION</t>
  </si>
  <si>
    <t xml:space="preserve">HEALTH &amp; SAFETY - BOROUGH GARDENS                           </t>
  </si>
  <si>
    <t xml:space="preserve">HEALTH &amp; SAFETY - EQUIPMENT - SANDRINGHAM                   </t>
  </si>
  <si>
    <t>HEALTH &amp; SAFETY EQUIPMENT WEY AVE PAVILION</t>
  </si>
  <si>
    <t>HEALTH 7 SAFETY - MAUMBURY RINGS PAVILION</t>
  </si>
  <si>
    <t>HEALTH &amp; SAFETY EQUIPMENT LOUDS MILL DEPOT</t>
  </si>
  <si>
    <t xml:space="preserve">HEALTH &amp; SAFETY EQUIPMENT                                   </t>
  </si>
  <si>
    <t xml:space="preserve">REFUSE TIPPING - BOROUGH GARDENS                            </t>
  </si>
  <si>
    <t xml:space="preserve">REFUSE TIPPING - SANDRINGHAM SPORTS CENTRE                  </t>
  </si>
  <si>
    <t xml:space="preserve">REFUSE TIPPING - MAUMBURY RINGS                             </t>
  </si>
  <si>
    <t>REFUSE TIPPING - LOUDS MILL DEPOT</t>
  </si>
  <si>
    <t xml:space="preserve">PUBLIC ENTERTAINMENT/PREMISES LICENCE - BOROUGH GARDENS     </t>
  </si>
  <si>
    <t>printing, stationery &amp; Advertising</t>
  </si>
  <si>
    <t xml:space="preserve">PUBLIC ENTERTAINMENT LICENCE - MAUMBURY RINGS               </t>
  </si>
  <si>
    <t>CIVIC REGALIA &amp; EQUIPMENT - BOROUGH GARDENS BOWLS PAVILION</t>
  </si>
  <si>
    <t>Civic Regalia</t>
  </si>
  <si>
    <t xml:space="preserve">COUNCIL GIFTS                                               </t>
  </si>
  <si>
    <t>Council Gifts</t>
  </si>
  <si>
    <t>GRANT TO DORCHESTER CRICKET CLUB</t>
  </si>
  <si>
    <t>Subscriptions &amp; Donations</t>
  </si>
  <si>
    <t>INSURANCE - LOUDS MILL DEPOT</t>
  </si>
  <si>
    <t xml:space="preserve">PRINTING, STATIONERY - BG COMMUNITY ROOM                    </t>
  </si>
  <si>
    <t xml:space="preserve">PRINTING, STATIONERY - GARDENER'S FACILITY BUILDING         </t>
  </si>
  <si>
    <t xml:space="preserve">PRINTING, STATIONERY - WEY AVE PAVILION                     </t>
  </si>
  <si>
    <t xml:space="preserve">PRINTING, STATIONERY - LOUDS MILL DEPOT                     </t>
  </si>
  <si>
    <t xml:space="preserve">PRINTING,STATIONERY                                         </t>
  </si>
  <si>
    <t xml:space="preserve">PC MAINTENANCE &amp; CONSUMABLES - GARDENER'S FACILITY BUILDING </t>
  </si>
  <si>
    <t>Office Equipment</t>
  </si>
  <si>
    <t xml:space="preserve">PC MAINTENANCE &amp; CONSUMABLES - LOUDS MILL DEPOT             </t>
  </si>
  <si>
    <t xml:space="preserve">PUBLICITY                                                   </t>
  </si>
  <si>
    <t xml:space="preserve">SUBSCRIPTIONS-PROF BODIES-B/G                               </t>
  </si>
  <si>
    <t>subscriptions (professional bodies)</t>
  </si>
  <si>
    <t>LEGAL/PROFESSIONAL EXPENSE - BOROUGH GARDENS KIOSK</t>
  </si>
  <si>
    <t>LEGAL/PROFESSIONAL EXPENSE - B/G PUBLIC TOILETS</t>
  </si>
  <si>
    <t>LEGAL/PROFESSIONAL EXPENSE - B/G COMMUNITY ROOMS</t>
  </si>
  <si>
    <t>LEGAL/PROFESSIONAL EXPENSE - B/G GARDENERS FACILITY BUILDING</t>
  </si>
  <si>
    <t>LEGAL/PROFESSIONAL SERVICES - BOWLS PAVILION BG</t>
  </si>
  <si>
    <t>LEGAL/PROFESSIONAL EXPENSE - POTTING SHED/BOROUGH GARDENS</t>
  </si>
  <si>
    <t>LEGAL/PROFESSIONAL EXPENSE - BOROUGH GARDENS CLOCK</t>
  </si>
  <si>
    <t>LEGAL/PROFESSIONAL EXPENSE - BOROUGH GARDENS BANDSTAND</t>
  </si>
  <si>
    <t>LEGAL/PROFESSIONAL EXPENSE - BOROUGH GARDENS FOUNTAIN</t>
  </si>
  <si>
    <t>LEGAL/PROFESSIONAL EXPENSES - SANDRINGHAM</t>
  </si>
  <si>
    <t xml:space="preserve">LEGAL/PROFESSIONAL EXPENSES - WEYMOUTH AVENUE               </t>
  </si>
  <si>
    <t>LEGAL/PROFESSIONAL EXPENSES - PAVILION</t>
  </si>
  <si>
    <t>LEGAL/PROFESSIONAL SERVICES - POUNDBURY CRESCENT PLAY AREA</t>
  </si>
  <si>
    <t>LEGAL/PROFESSIONAL EXPENSE - EDWARD ROAD</t>
  </si>
  <si>
    <t>LEGAL/PROFESSIONAL EXPENSES - MAUMBURY RINGS PAVILION</t>
  </si>
  <si>
    <t>LEGAL/PROFESSIONAL SERVICES - LOUDS MILL DEPOT</t>
  </si>
  <si>
    <t xml:space="preserve">LEGAL/PROFESSIONAL SERVICES - ROMAN TOWN WALL               </t>
  </si>
  <si>
    <t xml:space="preserve">LEGAL PROFESSIONAL EXPENSE                                  </t>
  </si>
  <si>
    <t>COMPENSATION PGOS</t>
  </si>
  <si>
    <t xml:space="preserve">CEREMONIAL EXPENSES - BOROUGH GARDENS                       </t>
  </si>
  <si>
    <t>Ceremonial Expenses</t>
  </si>
  <si>
    <t xml:space="preserve">PUBLIC SIGNS - BOROUGH GARDENS                              </t>
  </si>
  <si>
    <t>Public Signs</t>
  </si>
  <si>
    <t>PUBLIC SIGNS - SANDRINGHAM</t>
  </si>
  <si>
    <t xml:space="preserve">PUBLIC SIGNS - CASTLE PARK REC                              </t>
  </si>
  <si>
    <t xml:space="preserve">PUBLIC SIGNS - SALISBURY FIELD                              </t>
  </si>
  <si>
    <t xml:space="preserve">PUBLIC SIGNS - POUNDBURY CRESCENT PLAY AREA                 </t>
  </si>
  <si>
    <t>PUBLIC SIGNS - ELIZABETH PLACE</t>
  </si>
  <si>
    <t>PUBLIC SIGNS - EDWARD ROAD</t>
  </si>
  <si>
    <t>PUBLIC SIGNS - SYWARD CLOSE</t>
  </si>
  <si>
    <t>PUBLIC SIGNS - KINGS PARK</t>
  </si>
  <si>
    <t xml:space="preserve">PUBLIC SIGNS - MELLSTOCK AVENUE                             </t>
  </si>
  <si>
    <t>PUBLIC SIGNS - MAUMBURY RINGS</t>
  </si>
  <si>
    <t xml:space="preserve">PUBLIC SIGNS - WOODLAND CRESCENT PLAY AREA                  </t>
  </si>
  <si>
    <t>PUBLIC SIGNS - LOUDS MILL DEPOT</t>
  </si>
  <si>
    <t xml:space="preserve">PUBLIC SIGNS                                                </t>
  </si>
  <si>
    <t xml:space="preserve">ARCHAEOLOGICAL ASSESSMENT MAUMBURY RINGS                    </t>
  </si>
  <si>
    <t xml:space="preserve">REMOVAL/RELACEMENT OF TREES B/G                             </t>
  </si>
  <si>
    <t>Maintain Highway Trees</t>
  </si>
  <si>
    <t xml:space="preserve">REMOVAL/REPLACEMENT OF TREES - WALKS                        </t>
  </si>
  <si>
    <t xml:space="preserve">REMOVAL/REPLACEMENT OF TREES - OTHER                        </t>
  </si>
  <si>
    <t xml:space="preserve">MAINTENANCE OF HIGHWAY TREES                                </t>
  </si>
  <si>
    <t>WALKS - TREE MAINTENANCE</t>
  </si>
  <si>
    <t>Walks - Tree Maintenance</t>
  </si>
  <si>
    <t xml:space="preserve">CAPITAL WORKS/WEY AVE REC                                   </t>
  </si>
  <si>
    <t>Weymouth Ave Rec/Poundbury Sports Ground</t>
  </si>
  <si>
    <t xml:space="preserve">CAPITAL WORKS BOROUGH GARDENS                               </t>
  </si>
  <si>
    <t>Capital Works Borough Gardens</t>
  </si>
  <si>
    <t>PARKS PREMISES REPAIR - MAUMBURY RINGS</t>
  </si>
  <si>
    <t>Depot Repair Reserve</t>
  </si>
  <si>
    <t>Depot Repairs Reserve</t>
  </si>
  <si>
    <t xml:space="preserve">REPAIR &amp; RENEWAL PARK PREMISES                              </t>
  </si>
  <si>
    <t xml:space="preserve">CONSTRUCTION OF NEW DEPOT                                   </t>
  </si>
  <si>
    <t>Depot</t>
  </si>
  <si>
    <t>Construction of Skatepark</t>
  </si>
  <si>
    <t>Skatepark</t>
  </si>
  <si>
    <t>Transfer Salary Costs - Parks, Gardens &amp; Open Spaces</t>
  </si>
  <si>
    <t>Transfer Admin Costs  - Parks, Gardens &amp; Open Spaces</t>
  </si>
  <si>
    <t>RESERVE - PLAY EQUIPMENT</t>
  </si>
  <si>
    <t>REPAIRS &amp; RENEWALS - PLANT &amp; MACHINERY - B/G</t>
  </si>
  <si>
    <t>REPAIRS &amp; RENEWALS - PLANT &amp; MACHINERY - WEY AVE REC</t>
  </si>
  <si>
    <t xml:space="preserve">REPAIRS &amp; RENEWALS PARKS                                    </t>
  </si>
  <si>
    <t>REPAIRS &amp; RENEWALS SPECIAL ITEM - PLAY EQUIP - SANDRINGHAM</t>
  </si>
  <si>
    <t xml:space="preserve">REPAIRS &amp; RENEWALS PLAY EQUIPMENT - KINGS ROAD              </t>
  </si>
  <si>
    <t xml:space="preserve">REPAIRS &amp; RENEWALS - PLAY EQUIPMENT - CASTLE PARK           </t>
  </si>
  <si>
    <t xml:space="preserve">REP&amp;RENEWALS PLAY EQUIP                                     </t>
  </si>
  <si>
    <t xml:space="preserve">REP&amp;RENEW-PLAYEQUIP-EDWARD RD                               </t>
  </si>
  <si>
    <t xml:space="preserve">REPAIRS&amp;RENEWALS-PLAY EQUIPMENT-MAIDEN CASTLE PLAY AREA     </t>
  </si>
  <si>
    <t xml:space="preserve">REPAIRS &amp; RENEWALS - PLAY EQUIPMENT - CHARLES ST CAR PARK   </t>
  </si>
  <si>
    <t xml:space="preserve">REPAIRS &amp; RENEWALS PLAY EQUIP                               </t>
  </si>
  <si>
    <t xml:space="preserve">REPAIRS &amp; RENEWALS - SEATS/LITTER BINS - SALISBURY FIELD    </t>
  </si>
  <si>
    <t xml:space="preserve">REPAIRS &amp; RENEWALS SEATS/LITTER BINS - WALKS                </t>
  </si>
  <si>
    <t xml:space="preserve">REP&amp;RENEWALS SEATS/LITTER BINS                              </t>
  </si>
  <si>
    <t xml:space="preserve">GRANT - BEST VALUE                                          </t>
  </si>
  <si>
    <t>Best Value Provision</t>
  </si>
  <si>
    <t xml:space="preserve">PRECEPT                                                     </t>
  </si>
  <si>
    <t>Income from Local Taxation</t>
  </si>
  <si>
    <t>Council Tax Precept</t>
  </si>
  <si>
    <t xml:space="preserve">SKATEPARK INCOME                                            </t>
  </si>
  <si>
    <t xml:space="preserve">DONATION INCOME - CORPORATE MANAGEMENT - BOROUGH GARDENS    </t>
  </si>
  <si>
    <t>Donations</t>
  </si>
  <si>
    <t xml:space="preserve">ADMIN CHARGE - OUTSIDE CONTRACTS                            </t>
  </si>
  <si>
    <t xml:space="preserve">ADMIN RECHARGE - DJBC                                       </t>
  </si>
  <si>
    <t>Admin - Dorchester Joint Burial Committee</t>
  </si>
  <si>
    <t xml:space="preserve">ADMIN RECHARGE - DMJC                                       </t>
  </si>
  <si>
    <t>Admin - Dorchester Markets Joint Committee</t>
  </si>
  <si>
    <t xml:space="preserve">MARKET-SHARE OF SURPLUS                                     </t>
  </si>
  <si>
    <t>Market - Share of Surplus</t>
  </si>
  <si>
    <t xml:space="preserve">INTEREST                                                    </t>
  </si>
  <si>
    <t>Interest and Investment Income</t>
  </si>
  <si>
    <t>interest on balances</t>
  </si>
  <si>
    <t xml:space="preserve">REVERSAL DEPRECIATION                                       </t>
  </si>
  <si>
    <t>appropriations to/(from) capital financing account</t>
  </si>
  <si>
    <t>Reversal of Depreciation</t>
  </si>
  <si>
    <t>employees</t>
  </si>
  <si>
    <t>Councillor Allowances</t>
  </si>
  <si>
    <t>Members Allowances</t>
  </si>
  <si>
    <t xml:space="preserve">SALARIES-MACE BEARER/ BEADLE/TOWN CRIER                     </t>
  </si>
  <si>
    <t>Salary Mace Bearer/Beadle/Town Crier</t>
  </si>
  <si>
    <t xml:space="preserve">TOWN CRIER UNIFORM RESERVE                                  </t>
  </si>
  <si>
    <t xml:space="preserve">TRAVELLING &amp; SUB                                            </t>
  </si>
  <si>
    <t xml:space="preserve">TRAINING COURSES                                            </t>
  </si>
  <si>
    <t>PROTECTIVE CLOTHING - OFFICE</t>
  </si>
  <si>
    <t xml:space="preserve">GAS COUNCIL OFFICES                                         </t>
  </si>
  <si>
    <t xml:space="preserve">ELECTRICITY-COUNCIL OFFICES                                 </t>
  </si>
  <si>
    <t xml:space="preserve">WATER-COUNCIL OFFICES                                       </t>
  </si>
  <si>
    <t xml:space="preserve">RATES-COUNCIL OFFICES                                       </t>
  </si>
  <si>
    <t xml:space="preserve">TELEPHONE                                                   </t>
  </si>
  <si>
    <t xml:space="preserve">MOBILE PHONES - OFFICE                                      </t>
  </si>
  <si>
    <t xml:space="preserve">FURNITURE &amp; FITTINGS - COUNCIL OFFICES                      </t>
  </si>
  <si>
    <t>Cleaning Costs</t>
  </si>
  <si>
    <t>CLEANING WAGES</t>
  </si>
  <si>
    <t>salaries</t>
  </si>
  <si>
    <t xml:space="preserve">CLEANING -WAGES/MAT/EQUIP                                   </t>
  </si>
  <si>
    <t xml:space="preserve">GEN MAINT-PREMISES COUNCIL OFF                              </t>
  </si>
  <si>
    <t xml:space="preserve">GENMAINT-SECURITYSYSTEM-OFFICE                              </t>
  </si>
  <si>
    <t>repairs &amp; maintenance</t>
  </si>
  <si>
    <t xml:space="preserve">GEN MAINT - COUNCIL OFFICES                                 </t>
  </si>
  <si>
    <t xml:space="preserve">GENERAL MAINTENANCE - OTHER                                 </t>
  </si>
  <si>
    <t xml:space="preserve">REPAIRS &amp; RENEWALS OFFICE EQUIP                             </t>
  </si>
  <si>
    <t>GENERAL MAINTENANCE - OTHER - COUNCIL OFFICES</t>
  </si>
  <si>
    <t xml:space="preserve">GENMAINT-OFFICE EQUIPMENT                                   </t>
  </si>
  <si>
    <t xml:space="preserve">OFFICE - OUTSIDE CONTRACT/SALE                              </t>
  </si>
  <si>
    <t xml:space="preserve">TOOLS,EQUIP &amp; CONS OFFICES                                  </t>
  </si>
  <si>
    <t xml:space="preserve">TOOLS EQUIP &amp; CONS OFFICES                                  </t>
  </si>
  <si>
    <t xml:space="preserve">PEST CONTROL - COUNCIL OFFICES                              </t>
  </si>
  <si>
    <t>Repairs &amp; maintenance</t>
  </si>
  <si>
    <t xml:space="preserve">HEALTH &amp; SAFETY - COUNCIL OFFICE                            </t>
  </si>
  <si>
    <t xml:space="preserve">HEALTH &amp; SAFETY - OFFICE                                    </t>
  </si>
  <si>
    <t xml:space="preserve">REFUSE TIPPING - COUNCIL OFFICES                            </t>
  </si>
  <si>
    <t xml:space="preserve">MAYORS OVERSEAS VISITS                                      </t>
  </si>
  <si>
    <t>Mayoral Expenses - Overseas Visits</t>
  </si>
  <si>
    <t xml:space="preserve">MAYORAL ALLOWANCE                                           </t>
  </si>
  <si>
    <t>Mayoral Expenses - Allowance</t>
  </si>
  <si>
    <t xml:space="preserve">MAYORAL SPONSORSHIP                                         </t>
  </si>
  <si>
    <t>Mayoral Expenses - Sponsorship</t>
  </si>
  <si>
    <t xml:space="preserve">MAYORS CHRISTMAS CARDS                                      </t>
  </si>
  <si>
    <t>Mayoral Expenses - Christmas Cards</t>
  </si>
  <si>
    <t xml:space="preserve">MAYOR MAKING HOSPITALITY                                    </t>
  </si>
  <si>
    <t>Mayoral Expenses - Mayors Making</t>
  </si>
  <si>
    <t xml:space="preserve">MAYOR'S FAREWELL                                            </t>
  </si>
  <si>
    <t>Mayoral Expenses - Mayors Farewell</t>
  </si>
  <si>
    <t xml:space="preserve">MAYORS TRAVEL EXPENSES                                      </t>
  </si>
  <si>
    <t>Mayoral Expenses - Travel</t>
  </si>
  <si>
    <t xml:space="preserve">CIVIC REGALIA &amp; EQUIPMENT                                   </t>
  </si>
  <si>
    <t xml:space="preserve">ENTERTAINMENT                                               </t>
  </si>
  <si>
    <t>Entertaining</t>
  </si>
  <si>
    <t xml:space="preserve">MEMBERS EXPENSES                                            </t>
  </si>
  <si>
    <t>Members Expenses</t>
  </si>
  <si>
    <t xml:space="preserve">SUBSCRIPTIONS &amp; DONATIONS                                   </t>
  </si>
  <si>
    <t xml:space="preserve">CULTURAL ACTIVITIES  </t>
  </si>
  <si>
    <t xml:space="preserve">SUBSCRIPTIONS &amp; DONATIONS NON S137                              </t>
  </si>
  <si>
    <t xml:space="preserve">SUBSCRIPTIONS &amp; DONATIONS S137                              </t>
  </si>
  <si>
    <t>section 137 expenses</t>
  </si>
  <si>
    <t>Section 137 Expenses</t>
  </si>
  <si>
    <t xml:space="preserve">INSURANCE-ESTABLISHMENT                                     </t>
  </si>
  <si>
    <t xml:space="preserve">PRINTING,STATIONERY COUNCIL OF                              </t>
  </si>
  <si>
    <t>Printing &amp; Stationery</t>
  </si>
  <si>
    <t xml:space="preserve">PRINTING &amp; STATIONERY                                       </t>
  </si>
  <si>
    <t xml:space="preserve">QUARTERLY NEWSLETTER                                        </t>
  </si>
  <si>
    <t>Quarterly Newsletter</t>
  </si>
  <si>
    <t xml:space="preserve">PHOTOCOPIER                                                 </t>
  </si>
  <si>
    <t>Books &amp; Publications</t>
  </si>
  <si>
    <t xml:space="preserve">PC MAINTENANCE &amp; CONSUMABLES                                </t>
  </si>
  <si>
    <t>PC Maintenance &amp; Consumables</t>
  </si>
  <si>
    <t xml:space="preserve">PROMOTIONS                                                  </t>
  </si>
  <si>
    <t xml:space="preserve">SUBSCRIPTIONS-PROF BODIES/ASSO                              </t>
  </si>
  <si>
    <t xml:space="preserve">POSTAGE                                                     </t>
  </si>
  <si>
    <t xml:space="preserve">FRANKING MACHINE                                            </t>
  </si>
  <si>
    <t>Franking Machine</t>
  </si>
  <si>
    <t xml:space="preserve">AUDIT FEE                                                   </t>
  </si>
  <si>
    <t>Audit/Best Value Fee</t>
  </si>
  <si>
    <t>ACCOUNTANCY FEES</t>
  </si>
  <si>
    <t>Accountancy Fees WDDC Contract</t>
  </si>
  <si>
    <t xml:space="preserve">LEGAL/PROFESSIONAL FEES - COUNCIL OFFICES                   </t>
  </si>
  <si>
    <t xml:space="preserve">LEGAL/PROFESSIONAL FEES                                     </t>
  </si>
  <si>
    <t>Provision of Employment Law and H &amp; S Services</t>
  </si>
  <si>
    <t xml:space="preserve">BANK CHARGES                                                </t>
  </si>
  <si>
    <t xml:space="preserve">LOAN CHARGES                                                </t>
  </si>
  <si>
    <t>PWLB Capital</t>
  </si>
  <si>
    <t xml:space="preserve">CONTRIB LOAN CHGE-SWIM POOL WD                              </t>
  </si>
  <si>
    <t>Swimming Pool Contribution</t>
  </si>
  <si>
    <t xml:space="preserve">PRIOR YEAR EXPENSE                                          </t>
  </si>
  <si>
    <t>Prior Year Item</t>
  </si>
  <si>
    <t xml:space="preserve">BAD DEBTS WRITTEN OFF                                       </t>
  </si>
  <si>
    <t>Bad debt provision</t>
  </si>
  <si>
    <t xml:space="preserve">PENSION ADDED YEARS                                         </t>
  </si>
  <si>
    <t>Non-Distributed Costs</t>
  </si>
  <si>
    <t>Non Distributed Costs</t>
  </si>
  <si>
    <t>Christmas Lighting Contribution</t>
  </si>
  <si>
    <t xml:space="preserve">CHRISTMAS LIGHTING                                          </t>
  </si>
  <si>
    <t>Not allocated</t>
  </si>
  <si>
    <t xml:space="preserve">CONTRIBUTION TO TOWN CENTRE PROMOTION                       </t>
  </si>
  <si>
    <t>Contribution to town centre promotion</t>
  </si>
  <si>
    <t>CCTV CONTRIBUTION</t>
  </si>
  <si>
    <t xml:space="preserve">REMEMBRANCE SUNDAY                                          </t>
  </si>
  <si>
    <t>Remembrance Sunday</t>
  </si>
  <si>
    <t xml:space="preserve">THOMAS HARDY WREATH LAYING                                  </t>
  </si>
  <si>
    <t>Thomas Hardy Wreathlaying</t>
  </si>
  <si>
    <t xml:space="preserve">CARNIVAL EXPENSES                                           </t>
  </si>
  <si>
    <t>Corporate and Democratic Core Costs</t>
  </si>
  <si>
    <t>Carnival Expenses</t>
  </si>
  <si>
    <t xml:space="preserve">BEST VALUE                                                  </t>
  </si>
  <si>
    <t xml:space="preserve">CEREMONIAL EXPENSES                                         </t>
  </si>
  <si>
    <t xml:space="preserve">FAIRFIELD SKATEPARK EXPENSES                                </t>
  </si>
  <si>
    <t>fairfield skatepark expenses</t>
  </si>
  <si>
    <t xml:space="preserve">PRECEPT -DJBC                                               </t>
  </si>
  <si>
    <t>Dorchester Joint Burial Committee Precept</t>
  </si>
  <si>
    <t xml:space="preserve">COUNCIL OFFICES - EXTENSION EXPENSES                        </t>
  </si>
  <si>
    <t>Council Offices Extension</t>
  </si>
  <si>
    <t xml:space="preserve">COUNCIL OFFICES REPAIRS RESERVE                             </t>
  </si>
  <si>
    <t xml:space="preserve">CIVIC REGALIA REPLACEMENT RESERVE                           </t>
  </si>
  <si>
    <t>Transfer Salary Costs - Demo Rep</t>
  </si>
  <si>
    <t>Transfer Salary Costs - Corporate Mangement</t>
  </si>
  <si>
    <t>Transfer Admin Costs - Demo Rep</t>
  </si>
  <si>
    <t>Transfer Admin Costs - Corporate Management</t>
  </si>
  <si>
    <t>Special Items</t>
  </si>
  <si>
    <t xml:space="preserve">ASSET MANAGEMENT REVENUE A/C                                </t>
  </si>
  <si>
    <t>Interest Payable</t>
  </si>
  <si>
    <t>Asset Management Revenue Account</t>
  </si>
  <si>
    <t>GAIN / LOSS ON DISPOSAL OF FIXED ASSETS</t>
  </si>
  <si>
    <t>(Profit)/Loss on Sale of Fixed Assets</t>
  </si>
  <si>
    <t>Gain / Loss on Disposal of FA</t>
  </si>
  <si>
    <t xml:space="preserve">GRANTS - INCOME - TWINNING                                  </t>
  </si>
  <si>
    <t>Grants Income</t>
  </si>
  <si>
    <t>GENERAL MAINTENACE - TREES &amp; SHRUBS - OTHER</t>
  </si>
  <si>
    <t xml:space="preserve">MAYOR'S OVERSEAS VISITS                                     </t>
  </si>
  <si>
    <t>Grants, Receptions etc</t>
  </si>
  <si>
    <t xml:space="preserve">GRANTS &amp; REC TWINNING                                       </t>
  </si>
  <si>
    <t xml:space="preserve">CHAIRPERSONS TRAVELLING EXPENSES                            </t>
  </si>
  <si>
    <t>Chairpersons Travelling Expenses</t>
  </si>
  <si>
    <t xml:space="preserve">TWINNING ANNIVERSARY GIFT                                   </t>
  </si>
  <si>
    <t xml:space="preserve">TWINNING VISITS                                             </t>
  </si>
  <si>
    <t>Transfer Salary Costs - Twining</t>
  </si>
  <si>
    <t>Transfer Admin Costs - Twining</t>
  </si>
  <si>
    <t>COMMUNITY PLANNING INCOME</t>
  </si>
  <si>
    <t>Planning &amp; Environment</t>
  </si>
  <si>
    <t>Community Planning Income</t>
  </si>
  <si>
    <t xml:space="preserve">RECHARGE - COMMUNITY DEVELOPMENT WORKER                     </t>
  </si>
  <si>
    <t>Community Planning</t>
  </si>
  <si>
    <t xml:space="preserve">MOBILE PHONES - COMMUNITY PLANNING                          </t>
  </si>
  <si>
    <t xml:space="preserve">FURNITURE &amp; FITTINGS                                        </t>
  </si>
  <si>
    <t xml:space="preserve">COMMUNITY PLANNING EXPENSES                                 </t>
  </si>
  <si>
    <t xml:space="preserve">MILLSTREAM CONTRIBUTION                                     </t>
  </si>
  <si>
    <t>Millstream Contribution</t>
  </si>
  <si>
    <t xml:space="preserve">TRAFFIC PANEL                                               </t>
  </si>
  <si>
    <t>Traffic Panel</t>
  </si>
  <si>
    <t xml:space="preserve">SOFTWARE/CONSUMABLES                                        </t>
  </si>
  <si>
    <t>Software</t>
  </si>
  <si>
    <t xml:space="preserve">HERITAGE COMMITTEE CONTRIBUTION                             </t>
  </si>
  <si>
    <t>Heritage Committee</t>
  </si>
  <si>
    <t>Transfer Salary costs - Planning &amp; Environment</t>
  </si>
  <si>
    <t>Transfer Admin Costs - Planning &amp; Environment</t>
  </si>
  <si>
    <t xml:space="preserve">MISC INCOME                                                 </t>
  </si>
  <si>
    <t xml:space="preserve">OUTSIDE CONTRACT/SALE                                       </t>
  </si>
  <si>
    <t>Burial Fees - Weymouth Avenue Cemetery</t>
  </si>
  <si>
    <t>Burial Fees</t>
  </si>
  <si>
    <t>Burial Fees - Poundbury Cemetery</t>
  </si>
  <si>
    <t>Burial Fees - Fordington Cemetery</t>
  </si>
  <si>
    <t>Purchase Exclusive Rights to Burial - Weymouth Avenue Cemetery</t>
  </si>
  <si>
    <t>Cemetery Income</t>
  </si>
  <si>
    <t>Memorials &amp; Inscriptions - Weymouth Avenue Cemetery</t>
  </si>
  <si>
    <t>Memorials &amp; Inscriptions</t>
  </si>
  <si>
    <t>Memorials &amp; Inscriptions - Poundbury Cemetery</t>
  </si>
  <si>
    <t>Purchase Exclusive Rights to Burial - Fordington Cemetery</t>
  </si>
  <si>
    <t>Commonwealth War Graves Comm - Weymouth Avenue Cemetery</t>
  </si>
  <si>
    <t>Commonwealth War Graves Comm - Poundbury Cemetery</t>
  </si>
  <si>
    <t>Memorials &amp; Inscriptions - Fordington Cemetery</t>
  </si>
  <si>
    <t>Commonwealth War Graves Comm - Fordington Cemetery</t>
  </si>
  <si>
    <t>Chapel - Weymouth Avenue Cemetery</t>
  </si>
  <si>
    <t>Chapel - Poundbury Cemetery</t>
  </si>
  <si>
    <t>Chapel</t>
  </si>
  <si>
    <t>Chapel - Fordington Cemetery</t>
  </si>
  <si>
    <t>Sundry Income - Weymouth Avenue Cemetery</t>
  </si>
  <si>
    <t>Sundry Income</t>
  </si>
  <si>
    <t>Sundry Income - Poundbury Cemetery</t>
  </si>
  <si>
    <t>Sundry Income - Fordington Cemetery</t>
  </si>
  <si>
    <t>Emp NI</t>
  </si>
  <si>
    <t>Emp Superannuation</t>
  </si>
  <si>
    <t>Electricity - Weymouth Avenue Cemetery</t>
  </si>
  <si>
    <t>Electricity - Poundbury Cemetery</t>
  </si>
  <si>
    <t>Water - Weymouth Avenue Cemetery</t>
  </si>
  <si>
    <t>Water - Poundbury Cemetery</t>
  </si>
  <si>
    <t>Service Charges - Poundbury Cemetery</t>
  </si>
  <si>
    <t>Rates - Weymouth Avenue Cemetery</t>
  </si>
  <si>
    <t>Rates - Poundbury Cemetery</t>
  </si>
  <si>
    <t>Telephone - Weymouth Avenue Cemetery</t>
  </si>
  <si>
    <t>Telephone - Poundbury Cemetery</t>
  </si>
  <si>
    <t>Transport Related Expenses</t>
  </si>
  <si>
    <t>Mowers-Repairs &amp; Maint</t>
  </si>
  <si>
    <t>Machinery Servicing</t>
  </si>
  <si>
    <t>Mazda Pick Up WL51 JWV-Motor Fuel</t>
  </si>
  <si>
    <t>Mazda Pick Up WL51 JWV-Repairs &amp; Maint</t>
  </si>
  <si>
    <t>Mazda Pick Up WL51 JWV-Tax, Insurance</t>
  </si>
  <si>
    <t>General Maintenance-Grasscutting - Weymouth Avenue Cemetery</t>
  </si>
  <si>
    <t>General Maintenance-Grasscutting - Poundbury Cemetery</t>
  </si>
  <si>
    <t>General Maintenance-Grasscutting - Fordington Cemetery</t>
  </si>
  <si>
    <t>Fordington Grass Cutting</t>
  </si>
  <si>
    <t>General Maintenance-Trees &amp; Shrubs</t>
  </si>
  <si>
    <t>General Maintenance-Litter Bins - Weymouth Avenue Cemetery</t>
  </si>
  <si>
    <t>General Maintenance-Litter Bins - Poundbury Cemetery</t>
  </si>
  <si>
    <t>General Maintenance-Other</t>
  </si>
  <si>
    <t>General Maintenance - Poundbury Cemetery</t>
  </si>
  <si>
    <t>Printing,Stationery</t>
  </si>
  <si>
    <t>Bad Debts Written Off</t>
  </si>
  <si>
    <t>Bad Debt Provision</t>
  </si>
  <si>
    <t>Major Repairs Prov - to Reserves</t>
  </si>
  <si>
    <t>Repairs &amp; Renewals Fund</t>
  </si>
  <si>
    <t>Tarmac Resurfacing Reserve</t>
  </si>
  <si>
    <t>Building Repairs Reserve</t>
  </si>
  <si>
    <t xml:space="preserve">FREEHOLD LAND &amp; BUILDINGS                                   </t>
  </si>
  <si>
    <t>Balance Sheet</t>
  </si>
  <si>
    <t xml:space="preserve">  Land &amp; Buildings</t>
  </si>
  <si>
    <t xml:space="preserve">MOTOR VEHICLES                                              </t>
  </si>
  <si>
    <t xml:space="preserve">  Vehicles, Plant &amp; equipment</t>
  </si>
  <si>
    <t xml:space="preserve">FURNITURE &amp; EQUIPMENT                                       </t>
  </si>
  <si>
    <t xml:space="preserve">PLANT &amp; MACHINERY                                           </t>
  </si>
  <si>
    <t xml:space="preserve">OTHER EQUIP &amp; ASSETS                                        </t>
  </si>
  <si>
    <t xml:space="preserve">PLAYGROUND EQUIPMENT                                        </t>
  </si>
  <si>
    <t xml:space="preserve">COMMUNITY ASSETS                                            </t>
  </si>
  <si>
    <t xml:space="preserve">  Community Assets</t>
  </si>
  <si>
    <t xml:space="preserve">REVALUATION-LAND &amp; BUILDINGS                                </t>
  </si>
  <si>
    <t xml:space="preserve">REVALUATION-COMMUNITY ASSETS                                </t>
  </si>
  <si>
    <t xml:space="preserve">ADDITIONS-LAND &amp; BUILDINGS                                  </t>
  </si>
  <si>
    <t xml:space="preserve">ADDITIONS - MOTOR VEHICLES                                  </t>
  </si>
  <si>
    <t xml:space="preserve">ADDITIONS-FURN &amp; EQUIPMENT                                  </t>
  </si>
  <si>
    <t xml:space="preserve">ADDITIONS-PLANT &amp; MACHINERY                                 </t>
  </si>
  <si>
    <t xml:space="preserve">ADDITIONS-OTHER EQUIP &amp; ASSETS                              </t>
  </si>
  <si>
    <t xml:space="preserve">ADDITIONS-PLAYGROUND EQUIPMENT                              </t>
  </si>
  <si>
    <t xml:space="preserve">ADDITIONS-COMMUNITY ASSETS                                  </t>
  </si>
  <si>
    <t xml:space="preserve">WIP                                                         </t>
  </si>
  <si>
    <t xml:space="preserve">  Assets under construction</t>
  </si>
  <si>
    <t xml:space="preserve">DISPOSAL-MOTOR VEHICLES                                     </t>
  </si>
  <si>
    <t xml:space="preserve">DISPOSAL-FURNITURE &amp; EQUIPMENT                              </t>
  </si>
  <si>
    <t xml:space="preserve">DISPOSAL-PLANT &amp; MACHINERY                                  </t>
  </si>
  <si>
    <t xml:space="preserve">DISPOSAL-OTHER EQUIPMENT                                    </t>
  </si>
  <si>
    <t xml:space="preserve">DISPOSAL-PLAYGROUND EQUIP                                   </t>
  </si>
  <si>
    <t xml:space="preserve">DEPRECIATION-LAND &amp; BUILDINGS                               </t>
  </si>
  <si>
    <t xml:space="preserve">DEPRECIATION-MOTOR VEHICLES                                 </t>
  </si>
  <si>
    <t xml:space="preserve">DEPRECIATION-FURN &amp; EQUIP                                   </t>
  </si>
  <si>
    <t xml:space="preserve">DEPRECIATION-PLANT &amp; MACHINERY                              </t>
  </si>
  <si>
    <t xml:space="preserve">DEPRECIATION-OTHER EQUIPMENT                                </t>
  </si>
  <si>
    <t xml:space="preserve">DEPRECIATION-PLAYGROUND EQUIP                               </t>
  </si>
  <si>
    <t xml:space="preserve">DEPRECIATION-COMMUNITY ASSETS                               </t>
  </si>
  <si>
    <t xml:space="preserve">LLOYDS PAYMENT A/C                                          </t>
  </si>
  <si>
    <t>Cash in Hand</t>
  </si>
  <si>
    <t xml:space="preserve">LLOYDS GENERAL ACCOUNT                                      </t>
  </si>
  <si>
    <t xml:space="preserve">LLOYDS FIXED TERM DEPOSIT A/C                               </t>
  </si>
  <si>
    <t xml:space="preserve">NATIONAL SAVINGS BANK A/C                                   </t>
  </si>
  <si>
    <t>Temporary Investments</t>
  </si>
  <si>
    <t xml:space="preserve">LLOYDS BUSINESS CALL A/C                                    </t>
  </si>
  <si>
    <t xml:space="preserve">PETTY CASH                                                  </t>
  </si>
  <si>
    <t xml:space="preserve">DEBTORS-GENERAL                                             </t>
  </si>
  <si>
    <t>Debtors</t>
  </si>
  <si>
    <t xml:space="preserve">VAT INPUT CONTROL                                           </t>
  </si>
  <si>
    <t xml:space="preserve">PAYMENTS IN ADVANCE                                         </t>
  </si>
  <si>
    <t xml:space="preserve">VAT CONTROL ACCOUNT                                         </t>
  </si>
  <si>
    <t xml:space="preserve">RECEIPT NOT BANKED/INC ACCRUAL                              </t>
  </si>
  <si>
    <t xml:space="preserve">LOAN - OTHER ORGANISATIONS                                  </t>
  </si>
  <si>
    <t xml:space="preserve">RECHARGE-MARKETS EXPENSES                                   </t>
  </si>
  <si>
    <t xml:space="preserve">MISPOSTINGS A/C                                             </t>
  </si>
  <si>
    <t xml:space="preserve">SUSPENSE                                                    </t>
  </si>
  <si>
    <t xml:space="preserve">GENERAL CREDITORS                                           </t>
  </si>
  <si>
    <t>Creditors</t>
  </si>
  <si>
    <t xml:space="preserve">PAYE CONTROL                                                </t>
  </si>
  <si>
    <t xml:space="preserve">NI CONTROL                                                  </t>
  </si>
  <si>
    <t xml:space="preserve">SUPERANNUATION CONTROL                                      </t>
  </si>
  <si>
    <t xml:space="preserve">WAGES CONTROL                                               </t>
  </si>
  <si>
    <t xml:space="preserve">UNION DUES CONTROL                                          </t>
  </si>
  <si>
    <t xml:space="preserve">CREDIT UNION DEDUCTION CONTROL                              </t>
  </si>
  <si>
    <t xml:space="preserve">VAT OUTPUT CONTROL                                          </t>
  </si>
  <si>
    <t xml:space="preserve">RECEIPTS/INV IN ADVANCE                                     </t>
  </si>
  <si>
    <t xml:space="preserve">ACCRUALS                                                    </t>
  </si>
  <si>
    <t xml:space="preserve">PROVISION FOR BAD DEBTS                                     </t>
  </si>
  <si>
    <t xml:space="preserve">DEPOSIT-HIRE OF ROOM/BUILDING                               </t>
  </si>
  <si>
    <t xml:space="preserve">FIXED ASSET RESTATEMENT RES                                 </t>
  </si>
  <si>
    <t>Fixed Asset Restatement Account</t>
  </si>
  <si>
    <t xml:space="preserve">CAPITAL FINANCING RESERVE                                   </t>
  </si>
  <si>
    <t>Capital Adjustment Account</t>
  </si>
  <si>
    <t xml:space="preserve">CAPITAL RECEIPTS RESERVE                                    </t>
  </si>
  <si>
    <t>Usable Capital Receipts Reserve</t>
  </si>
  <si>
    <t>Capital grants deferred account</t>
  </si>
  <si>
    <t xml:space="preserve">Contributions to deferred </t>
  </si>
  <si>
    <t>Contributions Deferred Account</t>
  </si>
  <si>
    <t>LOAN REPAYMENT RESERVE</t>
  </si>
  <si>
    <t>Specific Reserves</t>
  </si>
  <si>
    <t xml:space="preserve">MUN BUILDINGS REFURB RESERVE                                </t>
  </si>
  <si>
    <t xml:space="preserve">REPAIR &amp; RENEWAL PARK EQUIPMNT                              </t>
  </si>
  <si>
    <t xml:space="preserve">WEYMOUTH AVE/POUNDBURY SPORTS GROUND                        </t>
  </si>
  <si>
    <t xml:space="preserve">SEATS/LITTER BINS RESERVE                                   </t>
  </si>
  <si>
    <t xml:space="preserve">PLAY EQUIPMENT RESERVE                                      </t>
  </si>
  <si>
    <t xml:space="preserve">NEW DEPOT CONSTRUCTION                                      </t>
  </si>
  <si>
    <t>MB Boiler Replacement Reserve</t>
  </si>
  <si>
    <t xml:space="preserve">CHRISTMAS LIGHTING RESERVE                                  </t>
  </si>
  <si>
    <t xml:space="preserve">FAIRFIELD SKATEPARK RESERVE                                 </t>
  </si>
  <si>
    <t xml:space="preserve">HOLMEAD WALK PLAY AREA MAINTENANCE IN PERPETUITY            </t>
  </si>
  <si>
    <t xml:space="preserve">Pub Watch Deposits                                          </t>
  </si>
  <si>
    <t xml:space="preserve">Heritage committee                                          </t>
  </si>
  <si>
    <t xml:space="preserve">DORCHESTER FESTIVAL RESERVE                                 </t>
  </si>
  <si>
    <t xml:space="preserve">SUNDAY MARKET RESERVE                                       </t>
  </si>
  <si>
    <t xml:space="preserve">MILLSTREAM CONTRIBUTIONS                                    </t>
  </si>
  <si>
    <t>Major Repairs Reserve</t>
  </si>
  <si>
    <t>Buildings Repairs Reserve</t>
  </si>
  <si>
    <t>Graves in Perpetuity Reserve</t>
  </si>
  <si>
    <t xml:space="preserve">GENERAL FUND                                                </t>
  </si>
  <si>
    <t>General Fund</t>
  </si>
  <si>
    <t xml:space="preserve">GENERAL FUND INTEREST                                       </t>
  </si>
  <si>
    <t xml:space="preserve">SECTION 106 DEBTOR                                          </t>
  </si>
  <si>
    <t xml:space="preserve">PURCHASE DISCOUNT TAKEN                                     </t>
  </si>
  <si>
    <t xml:space="preserve">                                                            </t>
  </si>
  <si>
    <t xml:space="preserve">SALES SUSPENSE                                              </t>
  </si>
  <si>
    <t xml:space="preserve">PUBLIC WORKS LOAN                                           </t>
  </si>
  <si>
    <t>Long Term Borrowing</t>
  </si>
  <si>
    <t xml:space="preserve">SALES DISCOUNT                                              </t>
  </si>
  <si>
    <t xml:space="preserve">BAD DEBTS W/O                                               </t>
  </si>
  <si>
    <t>nothing</t>
  </si>
  <si>
    <t>not allocated</t>
  </si>
  <si>
    <t>Band D Charge Increase 2011/12 - Summary Table</t>
  </si>
  <si>
    <t>BAND D CHARGE % INCREASE</t>
  </si>
  <si>
    <t>BAND D CHARGE</t>
  </si>
  <si>
    <t>ACTUAL ANNUAL INCREASE</t>
  </si>
  <si>
    <t>TOTAL PRECEPT</t>
  </si>
  <si>
    <t>SURPLUS/(DEFICIT) FOR YEAR</t>
  </si>
  <si>
    <t>CLOSING BALANCE GENERAL FUND</t>
  </si>
  <si>
    <t>Calculations based on the following information:</t>
  </si>
  <si>
    <t>2010/11 Tax Base</t>
  </si>
  <si>
    <t>2011/12 Tax Base</t>
  </si>
  <si>
    <t>2010/11 Band D Charge</t>
  </si>
  <si>
    <t>2011/12 Total Precept</t>
  </si>
  <si>
    <t>Projected Net Expenditure for 2011/12</t>
  </si>
  <si>
    <t>Capital Charges Budget</t>
  </si>
  <si>
    <t>Depreciation</t>
  </si>
  <si>
    <t>2008/09 Original Estimate</t>
  </si>
  <si>
    <t>2008/09 Revised Estimate</t>
  </si>
  <si>
    <t>2009/10 Estimate</t>
  </si>
  <si>
    <t>Reason for change</t>
  </si>
  <si>
    <t>Allotment</t>
  </si>
  <si>
    <t>Now includes Capital Charges &amp; Depreciation for Borough Gardens &amp; Depot</t>
  </si>
  <si>
    <t>Not Material</t>
  </si>
  <si>
    <t>Moved to Admin</t>
  </si>
  <si>
    <t>Administration</t>
  </si>
  <si>
    <t>Moved from Corp Man</t>
  </si>
  <si>
    <t>Planning and environment</t>
  </si>
  <si>
    <t>Amortisation of Grants</t>
  </si>
  <si>
    <r>
      <t xml:space="preserve">Proxy for </t>
    </r>
    <r>
      <rPr>
        <b/>
        <sz val="12"/>
        <rFont val="Arial"/>
        <family val="2"/>
      </rPr>
      <t>Net Depreciated Hisorical Cost</t>
    </r>
    <r>
      <rPr>
        <sz val="12"/>
        <rFont val="Arial"/>
        <family val="2"/>
      </rPr>
      <t xml:space="preserve"> as at 01/04/07</t>
    </r>
  </si>
  <si>
    <t>Estimated Year ended 31 March 2009 (based on 07/08 FAR)</t>
  </si>
  <si>
    <t>Fixed Asset Register</t>
  </si>
  <si>
    <t>VALUATION</t>
  </si>
  <si>
    <t>DEPRECIATION</t>
  </si>
  <si>
    <t>W D V</t>
  </si>
  <si>
    <t>Dep'n</t>
  </si>
  <si>
    <t>Cost Centre</t>
  </si>
  <si>
    <t>Dept</t>
  </si>
  <si>
    <t>Account</t>
  </si>
  <si>
    <t>CR</t>
  </si>
  <si>
    <t>Other Land &amp; Buildings</t>
  </si>
  <si>
    <t>29200199</t>
  </si>
  <si>
    <t>Motor Vehicles</t>
  </si>
  <si>
    <t>Land Value</t>
  </si>
  <si>
    <t>Rate</t>
  </si>
  <si>
    <t>Additions</t>
  </si>
  <si>
    <t>Revaluation</t>
  </si>
  <si>
    <t>Impairment</t>
  </si>
  <si>
    <t>Transfer</t>
  </si>
  <si>
    <t>Disposals</t>
  </si>
  <si>
    <t>Provided</t>
  </si>
  <si>
    <t>Final year adj</t>
  </si>
  <si>
    <t>39200199</t>
  </si>
  <si>
    <t>Furniture &amp; Equipment</t>
  </si>
  <si>
    <t>O L &amp; B</t>
  </si>
  <si>
    <t>Other Equipment &amp; Assets</t>
  </si>
  <si>
    <t>Freehold</t>
  </si>
  <si>
    <t>Plant &amp; Machinery</t>
  </si>
  <si>
    <t>Council Offices</t>
  </si>
  <si>
    <t>OLB</t>
  </si>
  <si>
    <t>Playground Equipment</t>
  </si>
  <si>
    <t>Community Assets</t>
  </si>
  <si>
    <t>Municipal Buildings - land</t>
  </si>
  <si>
    <t>Depot - land</t>
  </si>
  <si>
    <t>Freehold 0.5 acre</t>
  </si>
  <si>
    <t>St George's Road</t>
  </si>
  <si>
    <t>DR</t>
  </si>
  <si>
    <t>Capital Charges Administration</t>
  </si>
  <si>
    <t>Depot - Building</t>
  </si>
  <si>
    <t>DEPOT</t>
  </si>
  <si>
    <t>Capital Charges Buildings &amp; Cultural Activities</t>
  </si>
  <si>
    <t>BG Buildings</t>
  </si>
  <si>
    <t>BG</t>
  </si>
  <si>
    <t>Capital Charges Democratic Representation</t>
  </si>
  <si>
    <t>Leasehold</t>
  </si>
  <si>
    <t>Capital Charges Parks &amp; Gardens</t>
  </si>
  <si>
    <t>Sports Pavilion</t>
  </si>
  <si>
    <t>Weymouth Avenue Recreation ground</t>
  </si>
  <si>
    <t>Purchase Date</t>
  </si>
  <si>
    <t>SMGFB</t>
  </si>
  <si>
    <t>Massey Ferguson Tractor J396 OLJ</t>
  </si>
  <si>
    <t>MV</t>
  </si>
  <si>
    <t>Ford Transit T707 GPR</t>
  </si>
  <si>
    <t>49200199</t>
  </si>
  <si>
    <t>Vauxhaull Brava T236 BBN</t>
  </si>
  <si>
    <t>Ford Ranger W592 MFC</t>
  </si>
  <si>
    <t>xmas</t>
  </si>
  <si>
    <t>Mitsibushi L200 S/C 4x4 - DN05 WWU</t>
  </si>
  <si>
    <t>Piaggio Porter Tipper - HF07 FXE</t>
  </si>
  <si>
    <t>bg</t>
  </si>
  <si>
    <t>Transit Tipper - HG53 5WN</t>
  </si>
  <si>
    <t>Location</t>
  </si>
  <si>
    <t>Stretched fabric systems</t>
  </si>
  <si>
    <t>F&amp;E</t>
  </si>
  <si>
    <t>South Street</t>
  </si>
  <si>
    <t>OE&amp;A</t>
  </si>
  <si>
    <t>XMAS</t>
  </si>
  <si>
    <t>AV Equipment</t>
  </si>
  <si>
    <t>Corn Exchange</t>
  </si>
  <si>
    <t>Hot Water Generator</t>
  </si>
  <si>
    <t>Sandringham</t>
  </si>
  <si>
    <t>BG Railings</t>
  </si>
  <si>
    <t>BG Fountain</t>
  </si>
  <si>
    <t>Kubota Tractor 24HP Diesel</t>
  </si>
  <si>
    <t>P&amp;M</t>
  </si>
  <si>
    <t>Kubota G1700/48" Deck/Turbo Collector</t>
  </si>
  <si>
    <t>Jacobsen Triking Mower16710</t>
  </si>
  <si>
    <t>Beaver TM 508 Mower Hydraulic 5Gang</t>
  </si>
  <si>
    <t>Kubota B2710 Tractor with 60" Mower Deck</t>
  </si>
  <si>
    <t>Ransomes TG3400 Hydraulic Gang Mower</t>
  </si>
  <si>
    <t>John Deere Tractor + accessories</t>
  </si>
  <si>
    <t>Refurbishment to Skateboard Ramp</t>
  </si>
  <si>
    <t>Castle Park</t>
  </si>
  <si>
    <t>PE</t>
  </si>
  <si>
    <t>Junior Multi Play</t>
  </si>
  <si>
    <t>Large Activity Multi Play</t>
  </si>
  <si>
    <t>Electro Multi-Play System "Rock"</t>
  </si>
  <si>
    <t>Elizabeth Place</t>
  </si>
  <si>
    <t>Holmead Walk Play Equipment</t>
  </si>
  <si>
    <t>Holmead Play Area</t>
  </si>
  <si>
    <t>Midi Venturer</t>
  </si>
  <si>
    <t>Kings Road</t>
  </si>
  <si>
    <t>Active 4000 Net</t>
  </si>
  <si>
    <t>Salisbury Field</t>
  </si>
  <si>
    <t>Trio Venturer</t>
  </si>
  <si>
    <t>BG Play Area</t>
  </si>
  <si>
    <t>Land 0.44 Acre</t>
  </si>
  <si>
    <t>Poundbury Crescent</t>
  </si>
  <si>
    <t>CA</t>
  </si>
  <si>
    <t>Recreation Ground</t>
  </si>
  <si>
    <t>Weymouth Avenue</t>
  </si>
  <si>
    <t>Sports pitches - Land 5.11 Acres</t>
  </si>
  <si>
    <t>Sandringham Sports Centre</t>
  </si>
  <si>
    <t>Bowling green - Land 0.02 Acre</t>
  </si>
  <si>
    <t>Rifle club - Land 0.02 Acre</t>
  </si>
  <si>
    <t>Car park - Land 0.745 Acre</t>
  </si>
  <si>
    <t>Buildings</t>
  </si>
  <si>
    <t>Cemetery</t>
  </si>
  <si>
    <t>Poundbury</t>
  </si>
  <si>
    <t xml:space="preserve">Water feature </t>
  </si>
  <si>
    <t>Princes Street</t>
  </si>
  <si>
    <t>Town Walks</t>
  </si>
  <si>
    <t>South Walks</t>
  </si>
  <si>
    <t>Louds Mill              }</t>
  </si>
  <si>
    <t>Frome Terrace        }</t>
  </si>
  <si>
    <t>Hawthorn Road       }</t>
  </si>
  <si>
    <t>Borough Gardens</t>
  </si>
  <si>
    <t>Cornwall Road       }</t>
  </si>
  <si>
    <t>Borough Gardens House</t>
  </si>
  <si>
    <t>Borough Gardens Bandstand</t>
  </si>
  <si>
    <t>Borough Gardens Clock</t>
  </si>
  <si>
    <t>Borough Gardens Refurbishment</t>
  </si>
  <si>
    <t>Alington Avenue</t>
  </si>
  <si>
    <t>St.Georges Road</t>
  </si>
  <si>
    <t>Herringston Road</t>
  </si>
  <si>
    <t>Maumbury Rings</t>
  </si>
  <si>
    <t>25/03/1894</t>
  </si>
  <si>
    <t>Maumbury Road</t>
  </si>
  <si>
    <t>Play Area</t>
  </si>
  <si>
    <t>Kings Park</t>
  </si>
  <si>
    <t>Playing Field</t>
  </si>
  <si>
    <t>Old Sawmills Site</t>
  </si>
  <si>
    <t>Weymouth Road</t>
  </si>
  <si>
    <t>Syward Close</t>
  </si>
  <si>
    <t>Land 0.17 Acre</t>
  </si>
  <si>
    <t>Public Area</t>
  </si>
  <si>
    <t>Fordington Green</t>
  </si>
  <si>
    <t>Land 230 sq m</t>
  </si>
  <si>
    <t>Kings/London Road</t>
  </si>
  <si>
    <t>Land</t>
  </si>
  <si>
    <t>John's Pond</t>
  </si>
  <si>
    <t>02/3/1893</t>
  </si>
  <si>
    <t>Fordington Fields</t>
  </si>
  <si>
    <t>Play Area 0.5 Acre</t>
  </si>
  <si>
    <t>Mellstock Avenue</t>
  </si>
  <si>
    <t>Play Area 2.5 Acres</t>
  </si>
  <si>
    <t>Vespasian Way</t>
  </si>
  <si>
    <t>Open Space</t>
  </si>
  <si>
    <t>Fortress Green</t>
  </si>
  <si>
    <t>Cokers Frome</t>
  </si>
  <si>
    <t xml:space="preserve">Fee Farm Rent </t>
  </si>
  <si>
    <t>Dorchester</t>
  </si>
  <si>
    <t>Water Colour by Nash</t>
  </si>
  <si>
    <t>BG Landscaping</t>
  </si>
  <si>
    <t>Capital Work in Progress</t>
  </si>
  <si>
    <t>New Depot</t>
  </si>
  <si>
    <t>Capital works</t>
  </si>
  <si>
    <t>Skate Park</t>
  </si>
  <si>
    <t>Estimated Year ended 31 March 2010 (based on 0809 Budged FAR)</t>
  </si>
  <si>
    <t>Year ended 31 March 2008</t>
  </si>
  <si>
    <t>Grants Deferred</t>
  </si>
  <si>
    <t>Year Rec'd</t>
  </si>
  <si>
    <t>Proposed Usage</t>
  </si>
  <si>
    <t>Year Started to Release</t>
  </si>
  <si>
    <t>Rate of Release</t>
  </si>
  <si>
    <t>Original Gross</t>
  </si>
  <si>
    <t>Released 07/08</t>
  </si>
  <si>
    <t>Released 08/09</t>
  </si>
  <si>
    <t>Released 09/10</t>
  </si>
  <si>
    <t>Balance as at 31/03/2008</t>
  </si>
  <si>
    <t>2005/06 - 2007/08</t>
  </si>
  <si>
    <t>HLF grant for BG Refurb - Railings</t>
  </si>
  <si>
    <t>HLF grant for BG Refurb - Fountain</t>
  </si>
  <si>
    <t>HLF grant for BG Refurb - Building Works</t>
  </si>
  <si>
    <t>HLF grant for BG Refurb -External Works</t>
  </si>
  <si>
    <t>2006/07</t>
  </si>
  <si>
    <t>Grant towards Childrens Park in Borough Gardens</t>
  </si>
  <si>
    <t>07/08</t>
  </si>
  <si>
    <t>2007/08</t>
  </si>
  <si>
    <t>Grant from Film Society towards AV Equipment</t>
  </si>
  <si>
    <t>MB</t>
  </si>
  <si>
    <t>Dr - Government Grants 93105199</t>
  </si>
  <si>
    <t>Cr - Amortisation of Government Grants - MB 29200299</t>
  </si>
  <si>
    <t>Cr - Amortisation of Government Grants - BG 39200299</t>
  </si>
  <si>
    <t>Dr - SMGFB 44999999</t>
  </si>
  <si>
    <t>Cr - Capital Adjustment Account</t>
  </si>
  <si>
    <t>2009/10</t>
  </si>
  <si>
    <t>OUTTURNS - 2008/09</t>
  </si>
  <si>
    <t>Net Expenditure</t>
  </si>
  <si>
    <t>Budget Heading</t>
  </si>
  <si>
    <t>Classification</t>
  </si>
  <si>
    <t>Budget (Original)</t>
  </si>
  <si>
    <t>Budget (Revised)</t>
  </si>
  <si>
    <t>Difference (to orig. budget)</t>
  </si>
  <si>
    <t>Difference (to rev. budget)</t>
  </si>
  <si>
    <t>Comment</t>
  </si>
  <si>
    <t>Total Employees</t>
  </si>
  <si>
    <t>Total Premises Related Expenses</t>
  </si>
  <si>
    <t>Pick-Up</t>
  </si>
  <si>
    <t>Total Transport Related Expenses</t>
  </si>
  <si>
    <t>Total Supplies and Services</t>
  </si>
  <si>
    <t>Total Capital Charges</t>
  </si>
  <si>
    <t>Total Central Recharges</t>
  </si>
  <si>
    <t>Customer &amp; Client Reciepts</t>
  </si>
  <si>
    <t>Total Customer &amp; Client Receipts</t>
  </si>
  <si>
    <t>Consultants build maintenance schedule</t>
  </si>
  <si>
    <t>Printing, Stationery &amp; Advertising</t>
  </si>
  <si>
    <t>Miscellaneous Expenditure</t>
  </si>
  <si>
    <t>PA Equipment</t>
  </si>
  <si>
    <t>Special Item - Extend Sports Arena Equipment</t>
  </si>
  <si>
    <t>Special Item - German War Memorial</t>
  </si>
  <si>
    <t>Total Third Party Payments</t>
  </si>
  <si>
    <t>Transfers to from reserves</t>
  </si>
  <si>
    <t>Depot loan repayment</t>
  </si>
  <si>
    <t>Depot maintenance</t>
  </si>
  <si>
    <t>Reserve/Weymouth Avenue Fencing</t>
  </si>
  <si>
    <t>Total Transfers to/(from) specific reserves</t>
  </si>
  <si>
    <t>Admin Fee - St Georges Churchyard</t>
  </si>
  <si>
    <t>Admin Fee - Outside Contracts</t>
  </si>
  <si>
    <t>Total Reimbursements &amp; Contributions</t>
  </si>
  <si>
    <t>Hire of flowers</t>
  </si>
  <si>
    <t>Gardens Clubroom Licence</t>
  </si>
  <si>
    <t>Watering/making up hanging baskets</t>
  </si>
  <si>
    <t>Hire of buildings</t>
  </si>
  <si>
    <t>Total Grants</t>
  </si>
  <si>
    <t>Total Premises related expenses</t>
  </si>
  <si>
    <t>M/B Refurbishment - Access Study</t>
  </si>
  <si>
    <t>M/B Refurbishment - Boiler Repairs</t>
  </si>
  <si>
    <t>Net Buildings Expenditure</t>
  </si>
  <si>
    <t>Cultural Activities</t>
  </si>
  <si>
    <t>Maumbury Rings Events</t>
  </si>
  <si>
    <t>700 year anniversary Dorchester Council</t>
  </si>
  <si>
    <t>Devon &amp; Dorset Regiment Freedom march</t>
  </si>
  <si>
    <t>Reimbursements &amp; contributions</t>
  </si>
  <si>
    <t>Accountancy Fees</t>
  </si>
  <si>
    <t>Local Government Associate Fee</t>
  </si>
  <si>
    <t>CCTV Contribution</t>
  </si>
  <si>
    <t>Building Maintenance Schedule</t>
  </si>
  <si>
    <t>Contingency</t>
  </si>
  <si>
    <t>Fairfield Skatepark Expenses</t>
  </si>
  <si>
    <t>Total third party payments</t>
  </si>
  <si>
    <t>Transfer to Sunmday Market Reserve</t>
  </si>
  <si>
    <t>Minimum Revenue Provision</t>
  </si>
  <si>
    <t>AMRA</t>
  </si>
  <si>
    <t>Net Transfer to / from Earmarked Reserves</t>
  </si>
  <si>
    <t>Total Asset Management Revenue Account</t>
  </si>
  <si>
    <t>Members training</t>
  </si>
  <si>
    <t>Veterans day</t>
  </si>
  <si>
    <t>Special Items - Screen for Council Cahmber</t>
  </si>
  <si>
    <t>Contribution town centre promotion</t>
  </si>
  <si>
    <t>Total Transport Related expenses</t>
  </si>
  <si>
    <t>Twinning:</t>
  </si>
  <si>
    <t>Twinning anniversary / Football Tournament</t>
  </si>
  <si>
    <t>Total Supplies and services</t>
  </si>
  <si>
    <t>Planning &amp; Environment:</t>
  </si>
  <si>
    <t>Insurance Renewal</t>
  </si>
  <si>
    <t>2008 Renewal</t>
  </si>
  <si>
    <t>2009 Renewal</t>
  </si>
  <si>
    <t>2010 Renewal*</t>
  </si>
  <si>
    <t>General</t>
  </si>
  <si>
    <t>Motor</t>
  </si>
  <si>
    <t>2009/10 Renewal</t>
  </si>
  <si>
    <t>8 mths @ 2008 Renewal</t>
  </si>
  <si>
    <t>4 mths @ 2009 Renewal</t>
  </si>
  <si>
    <t>0910 rev</t>
  </si>
  <si>
    <t>2010/11 Renewal</t>
  </si>
  <si>
    <t>8 mths @ 2009 Renewal</t>
  </si>
  <si>
    <t>4 mths @ 2010 Renewal</t>
  </si>
  <si>
    <t>OUTTURNS - 2009-10</t>
  </si>
  <si>
    <t>Special Item - Sandringham Fencing</t>
  </si>
  <si>
    <t>Special Item - Poundbury Crescent Fencing</t>
  </si>
  <si>
    <t>Monthly Cleaning Contract</t>
  </si>
  <si>
    <t>Maumbury Rings Youth Event</t>
  </si>
  <si>
    <t>Events Marketing / Promotion</t>
  </si>
  <si>
    <t>Rifles Regiment Return</t>
  </si>
  <si>
    <t>Less Recharge Outside Bodies</t>
  </si>
  <si>
    <t>STATUTORY CHARGE FOR CAPITAL</t>
  </si>
  <si>
    <t>National Insurance (Allowances)</t>
  </si>
  <si>
    <t>Refund from EON for gas</t>
  </si>
  <si>
    <t>Equipment &amp; Facilities for I.T.</t>
  </si>
  <si>
    <t>Bayeux Visit (April 09)</t>
  </si>
  <si>
    <t>Purchase of Grit Bins</t>
  </si>
  <si>
    <t>Arts &amp; Culture</t>
  </si>
  <si>
    <t>Tennis Courts Reserve</t>
  </si>
  <si>
    <t>27/28</t>
  </si>
  <si>
    <t>Forecast</t>
  </si>
  <si>
    <t>1. Precept assumes Council Tax rises @ 2.00% from 2026/27, no Tax Base growth</t>
  </si>
  <si>
    <t>3. 26/27 includes a contribution to a new earmarked reserve for Election Costs, £3k a year.</t>
  </si>
  <si>
    <t>4. Best estimate of new or transferred services, driven by cuts in other tiers</t>
  </si>
  <si>
    <t>5. Earmarked Reserves expenditure reflects best available knowledge</t>
  </si>
  <si>
    <t>6. General Reserve set at £100k</t>
  </si>
  <si>
    <t>7. Further limited savings may be identified in budgets during review processes</t>
  </si>
  <si>
    <t>Elections Reserve</t>
  </si>
  <si>
    <t>Mar 27</t>
  </si>
  <si>
    <t>Cemetery Wall</t>
  </si>
  <si>
    <t>Tennis Courts Repairs</t>
  </si>
  <si>
    <t>Cost of Elections</t>
  </si>
  <si>
    <t>Clock tower and other building works</t>
  </si>
  <si>
    <t>REVENUE BUDGET 2026/27</t>
  </si>
  <si>
    <t>28/29</t>
  </si>
  <si>
    <t>2. Any operational surplus and CIL receipts credited 19 North Square Reserve for works.</t>
  </si>
  <si>
    <t>20mph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</si>
</sst>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5" formatCode="&quot;£&quot;#,##0;\-&quot;£&quot;#,##0"/>
    <numFmt numFmtId="6" formatCode="&quot;£&quot;#,##0;[Red]\-&quot;£&quot;#,##0"/>
    <numFmt numFmtId="7" formatCode="&quot;£&quot;#,##0.00;\-&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0.0%"/>
    <numFmt numFmtId="165" formatCode="_-* #,##0_-;\-* #,##0_-;_-* &quot;-&quot;??_-;_-@_-"/>
    <numFmt numFmtId="166" formatCode="#,##0_ ;[Red]\-#,##0\ "/>
    <numFmt numFmtId="167" formatCode="#,##0_ ;\-#,##0\ "/>
    <numFmt numFmtId="168" formatCode="_-&quot;£&quot;* #,##0_-;\-&quot;£&quot;* #,##0_-;_-&quot;£&quot;* &quot;-&quot;??_-;_-@_-"/>
    <numFmt numFmtId="169" formatCode="dd/mm/yy"/>
    <numFmt numFmtId="170" formatCode="#,##0;[Red]\(#,##0\)"/>
    <numFmt numFmtId="171" formatCode="dddd\ dd/mm/yyyy"/>
    <numFmt numFmtId="173" formatCode="#,##0;\(#,##0\)"/>
    <numFmt numFmtId="174" formatCode="_-* #,##0.000_-;\-* #,##0.000_-;_-* &quot;-&quot;??_-;_-@_-"/>
    <numFmt numFmtId="175" formatCode="dd/mm/yy;@"/>
    <numFmt numFmtId="176" formatCode="0.0000"/>
    <numFmt numFmtId="177" formatCode="&quot;£&quot;#,##0.00"/>
    <numFmt numFmtId="178" formatCode="#,##0.00_ ;\-#,##0.00\ "/>
    <numFmt numFmtId="181" formatCode="#,##0.0000000_ ;\-#,##0.0000000\ "/>
    <numFmt numFmtId="182" formatCode="#,##0.000000_ ;\-#,##0.000000\ "/>
  </numFmts>
  <fonts count="119" x14ac:knownFonts="1">
    <font>
      <sz val="10"/>
      <name val="Times New Roman"/>
    </font>
    <font>
      <sz val="11"/>
      <color indexed="8"/>
      <name val="Calibri"/>
      <family val="2"/>
    </font>
    <font>
      <sz val="11"/>
      <color indexed="8"/>
      <name val="Calibri"/>
      <family val="2"/>
    </font>
    <font>
      <sz val="11"/>
      <color indexed="8"/>
      <name val="Calibri"/>
      <family val="2"/>
    </font>
    <font>
      <sz val="10"/>
      <name val="Times New Roman"/>
      <family val="1"/>
    </font>
    <font>
      <b/>
      <sz val="14"/>
      <name val="Times New Roman"/>
      <family val="1"/>
    </font>
    <font>
      <b/>
      <sz val="11"/>
      <name val="Times New Roman"/>
      <family val="1"/>
    </font>
    <font>
      <sz val="11"/>
      <name val="Times New Roman"/>
      <family val="1"/>
    </font>
    <font>
      <sz val="14"/>
      <name val="Times New Roman"/>
      <family val="1"/>
    </font>
    <font>
      <b/>
      <u/>
      <sz val="11"/>
      <name val="Times New Roman"/>
      <family val="1"/>
    </font>
    <font>
      <sz val="12"/>
      <name val="Times New Roman"/>
      <family val="1"/>
    </font>
    <font>
      <sz val="10"/>
      <color indexed="8"/>
      <name val="Arial"/>
      <family val="2"/>
    </font>
    <font>
      <sz val="10"/>
      <name val="Times New Roman"/>
      <family val="1"/>
    </font>
    <font>
      <sz val="8"/>
      <color indexed="81"/>
      <name val="Tahoma"/>
      <family val="2"/>
    </font>
    <font>
      <b/>
      <sz val="8"/>
      <color indexed="81"/>
      <name val="Tahoma"/>
      <family val="2"/>
    </font>
    <font>
      <sz val="10"/>
      <name val="Arial"/>
      <family val="2"/>
    </font>
    <font>
      <b/>
      <u/>
      <sz val="10"/>
      <name val="Arial"/>
      <family val="2"/>
    </font>
    <font>
      <u/>
      <sz val="10"/>
      <name val="Arial"/>
      <family val="2"/>
    </font>
    <font>
      <sz val="10"/>
      <name val="Arial"/>
      <family val="2"/>
    </font>
    <font>
      <b/>
      <sz val="10"/>
      <name val="Arial"/>
      <family val="2"/>
    </font>
    <font>
      <b/>
      <sz val="12"/>
      <name val="Arial"/>
      <family val="2"/>
    </font>
    <font>
      <b/>
      <sz val="10"/>
      <name val="Times New Roman"/>
      <family val="1"/>
    </font>
    <font>
      <b/>
      <sz val="12"/>
      <name val="Times New Roman"/>
      <family val="1"/>
    </font>
    <font>
      <b/>
      <u/>
      <sz val="12"/>
      <name val="Arial"/>
      <family val="2"/>
    </font>
    <font>
      <sz val="12"/>
      <name val="Arial"/>
      <family val="2"/>
    </font>
    <font>
      <b/>
      <u/>
      <sz val="10"/>
      <name val="Times New Roman"/>
      <family val="1"/>
    </font>
    <font>
      <b/>
      <i/>
      <sz val="28"/>
      <name val="Arial"/>
      <family val="2"/>
    </font>
    <font>
      <sz val="10"/>
      <color indexed="10"/>
      <name val="Arial"/>
      <family val="2"/>
    </font>
    <font>
      <sz val="10"/>
      <color indexed="57"/>
      <name val="Arial"/>
      <family val="2"/>
    </font>
    <font>
      <b/>
      <sz val="10"/>
      <color indexed="10"/>
      <name val="Arial"/>
      <family val="2"/>
    </font>
    <font>
      <b/>
      <sz val="24"/>
      <name val="Arial"/>
      <family val="2"/>
    </font>
    <font>
      <u/>
      <sz val="8"/>
      <name val="Arial"/>
      <family val="2"/>
    </font>
    <font>
      <u/>
      <sz val="10"/>
      <name val="Times New Roman"/>
      <family val="1"/>
    </font>
    <font>
      <i/>
      <sz val="10"/>
      <name val="Times New Roman"/>
      <family val="1"/>
    </font>
    <font>
      <b/>
      <i/>
      <u/>
      <sz val="10"/>
      <name val="Times New Roman"/>
      <family val="1"/>
    </font>
    <font>
      <sz val="11"/>
      <color indexed="8"/>
      <name val="Times New Roman"/>
      <family val="1"/>
    </font>
    <font>
      <b/>
      <sz val="14"/>
      <color indexed="81"/>
      <name val="Tahoma"/>
      <family val="2"/>
    </font>
    <font>
      <sz val="14"/>
      <color indexed="81"/>
      <name val="Tahoma"/>
      <family val="2"/>
    </font>
    <font>
      <b/>
      <sz val="16"/>
      <color indexed="81"/>
      <name val="Tahoma"/>
      <family val="2"/>
    </font>
    <font>
      <sz val="16"/>
      <color indexed="81"/>
      <name val="Tahoma"/>
      <family val="2"/>
    </font>
    <font>
      <sz val="18"/>
      <color indexed="81"/>
      <name val="Tahoma"/>
      <family val="2"/>
    </font>
    <font>
      <b/>
      <sz val="10"/>
      <color indexed="12"/>
      <name val="Arial"/>
      <family val="2"/>
    </font>
    <font>
      <b/>
      <sz val="12"/>
      <color indexed="81"/>
      <name val="Tahoma"/>
      <family val="2"/>
    </font>
    <font>
      <sz val="12"/>
      <color indexed="81"/>
      <name val="Tahoma"/>
      <family val="2"/>
    </font>
    <font>
      <sz val="10"/>
      <color indexed="8"/>
      <name val="Times New Roman"/>
      <family val="1"/>
    </font>
    <font>
      <b/>
      <sz val="20"/>
      <color indexed="81"/>
      <name val="Tahoma"/>
      <family val="2"/>
    </font>
    <font>
      <sz val="20"/>
      <color indexed="81"/>
      <name val="Tahoma"/>
      <family val="2"/>
    </font>
    <font>
      <b/>
      <sz val="14"/>
      <name val="Arial"/>
      <family val="2"/>
    </font>
    <font>
      <b/>
      <sz val="11"/>
      <color indexed="8"/>
      <name val="Times New Roman"/>
      <family val="1"/>
    </font>
    <font>
      <sz val="14"/>
      <color indexed="8"/>
      <name val="Times New Roman"/>
      <family val="1"/>
    </font>
    <font>
      <b/>
      <sz val="14"/>
      <color indexed="8"/>
      <name val="Times New Roman"/>
      <family val="1"/>
    </font>
    <font>
      <b/>
      <sz val="10"/>
      <color indexed="8"/>
      <name val="Times New Roman"/>
      <family val="1"/>
    </font>
    <font>
      <u/>
      <sz val="11"/>
      <color indexed="8"/>
      <name val="Times New Roman"/>
      <family val="1"/>
    </font>
    <font>
      <sz val="8"/>
      <color indexed="8"/>
      <name val="Times New Roman"/>
      <family val="1"/>
    </font>
    <font>
      <sz val="9"/>
      <color indexed="8"/>
      <name val="Times New Roman"/>
      <family val="1"/>
    </font>
    <font>
      <sz val="12"/>
      <color indexed="8"/>
      <name val="Times New Roman"/>
      <family val="1"/>
    </font>
    <font>
      <sz val="8"/>
      <name val="Times New Roman"/>
      <family val="1"/>
    </font>
    <font>
      <sz val="11"/>
      <color indexed="14"/>
      <name val="Times New Roman"/>
      <family val="1"/>
    </font>
    <font>
      <sz val="14"/>
      <color indexed="14"/>
      <name val="Times New Roman"/>
      <family val="1"/>
    </font>
    <font>
      <sz val="10"/>
      <color indexed="14"/>
      <name val="Times New Roman"/>
      <family val="1"/>
    </font>
    <font>
      <sz val="9"/>
      <color indexed="12"/>
      <name val="Times New Roman"/>
      <family val="1"/>
    </font>
    <font>
      <sz val="10"/>
      <color indexed="10"/>
      <name val="Arial"/>
      <family val="2"/>
    </font>
    <font>
      <b/>
      <sz val="10"/>
      <color indexed="46"/>
      <name val="Arial"/>
      <family val="2"/>
    </font>
    <font>
      <b/>
      <u/>
      <sz val="8"/>
      <color indexed="8"/>
      <name val="Times New Roman"/>
      <family val="1"/>
    </font>
    <font>
      <b/>
      <u/>
      <sz val="10"/>
      <color indexed="10"/>
      <name val="Arial"/>
      <family val="2"/>
    </font>
    <font>
      <b/>
      <sz val="10"/>
      <color indexed="14"/>
      <name val="Arial"/>
      <family val="2"/>
    </font>
    <font>
      <sz val="10"/>
      <color indexed="14"/>
      <name val="Arial"/>
      <family val="2"/>
    </font>
    <font>
      <b/>
      <u/>
      <sz val="10"/>
      <color indexed="8"/>
      <name val="Arial"/>
      <family val="2"/>
    </font>
    <font>
      <b/>
      <sz val="11"/>
      <color indexed="8"/>
      <name val="Calibri"/>
      <family val="2"/>
    </font>
    <font>
      <b/>
      <sz val="11"/>
      <color indexed="12"/>
      <name val="Times New Roman"/>
      <family val="1"/>
    </font>
    <font>
      <sz val="11"/>
      <color indexed="12"/>
      <name val="Times New Roman"/>
      <family val="1"/>
    </font>
    <font>
      <b/>
      <sz val="10"/>
      <color indexed="12"/>
      <name val="Times New Roman"/>
      <family val="1"/>
    </font>
    <font>
      <i/>
      <sz val="11"/>
      <color indexed="8"/>
      <name val="Times New Roman"/>
      <family val="1"/>
    </font>
    <font>
      <sz val="10"/>
      <color indexed="12"/>
      <name val="Times New Roman"/>
      <family val="1"/>
    </font>
    <font>
      <sz val="9"/>
      <color indexed="81"/>
      <name val="Tahoma"/>
      <family val="2"/>
    </font>
    <font>
      <sz val="10"/>
      <name val="Calibri"/>
      <family val="2"/>
    </font>
    <font>
      <b/>
      <u/>
      <sz val="10"/>
      <name val="Calibri"/>
      <family val="2"/>
    </font>
    <font>
      <b/>
      <sz val="10"/>
      <name val="Calibri"/>
      <family val="2"/>
    </font>
    <font>
      <sz val="10"/>
      <color indexed="8"/>
      <name val="Calibri"/>
      <family val="2"/>
    </font>
    <font>
      <b/>
      <sz val="16"/>
      <name val="Times New Roman"/>
      <family val="1"/>
    </font>
    <font>
      <b/>
      <sz val="18"/>
      <name val="Times New Roman"/>
      <family val="1"/>
    </font>
    <font>
      <sz val="16"/>
      <name val="Times New Roman"/>
      <family val="1"/>
    </font>
    <font>
      <b/>
      <u/>
      <sz val="16"/>
      <name val="Times New Roman"/>
      <family val="1"/>
    </font>
    <font>
      <b/>
      <sz val="20"/>
      <name val="Times New Roman"/>
      <family val="1"/>
    </font>
    <font>
      <b/>
      <u/>
      <sz val="18"/>
      <name val="Times New Roman"/>
      <family val="1"/>
    </font>
    <font>
      <sz val="18"/>
      <name val="Times New Roman"/>
      <family val="1"/>
    </font>
    <font>
      <sz val="18"/>
      <color indexed="8"/>
      <name val="Times New Roman"/>
      <family val="1"/>
    </font>
    <font>
      <b/>
      <sz val="18"/>
      <color indexed="8"/>
      <name val="Times New Roman"/>
      <family val="1"/>
    </font>
    <font>
      <sz val="20"/>
      <name val="Times New Roman"/>
      <family val="1"/>
    </font>
    <font>
      <b/>
      <sz val="12"/>
      <color indexed="8"/>
      <name val="Times New Roman"/>
      <family val="1"/>
    </font>
    <font>
      <sz val="11"/>
      <color indexed="10"/>
      <name val="Times New Roman"/>
      <family val="1"/>
    </font>
    <font>
      <i/>
      <sz val="11"/>
      <color indexed="12"/>
      <name val="Times New Roman"/>
      <family val="1"/>
    </font>
    <font>
      <i/>
      <sz val="11"/>
      <name val="Times New Roman"/>
      <family val="1"/>
    </font>
    <font>
      <sz val="8"/>
      <name val="Times New Roman"/>
      <family val="1"/>
    </font>
    <font>
      <sz val="11"/>
      <color theme="1"/>
      <name val="Arial"/>
      <family val="2"/>
      <scheme val="minor"/>
    </font>
    <font>
      <sz val="11"/>
      <color theme="0"/>
      <name val="Arial"/>
      <family val="2"/>
      <scheme val="minor"/>
    </font>
    <font>
      <sz val="11"/>
      <color rgb="FF9C0006"/>
      <name val="Arial"/>
      <family val="2"/>
      <scheme val="minor"/>
    </font>
    <font>
      <b/>
      <sz val="11"/>
      <color rgb="FFFA7D00"/>
      <name val="Arial"/>
      <family val="2"/>
      <scheme val="minor"/>
    </font>
    <font>
      <b/>
      <sz val="11"/>
      <color theme="0"/>
      <name val="Arial"/>
      <family val="2"/>
      <scheme val="minor"/>
    </font>
    <font>
      <i/>
      <sz val="11"/>
      <color rgb="FF7F7F7F"/>
      <name val="Arial"/>
      <family val="2"/>
      <scheme val="minor"/>
    </font>
    <font>
      <sz val="11"/>
      <color rgb="FF006100"/>
      <name val="Arial"/>
      <family val="2"/>
      <scheme val="minor"/>
    </font>
    <font>
      <b/>
      <sz val="15"/>
      <color theme="3"/>
      <name val="Arial"/>
      <family val="2"/>
      <scheme val="minor"/>
    </font>
    <font>
      <b/>
      <sz val="13"/>
      <color theme="3"/>
      <name val="Arial"/>
      <family val="2"/>
      <scheme val="minor"/>
    </font>
    <font>
      <b/>
      <sz val="11"/>
      <color theme="3"/>
      <name val="Arial"/>
      <family val="2"/>
      <scheme val="minor"/>
    </font>
    <font>
      <sz val="11"/>
      <color rgb="FF3F3F76"/>
      <name val="Arial"/>
      <family val="2"/>
      <scheme val="minor"/>
    </font>
    <font>
      <sz val="11"/>
      <color rgb="FFFA7D00"/>
      <name val="Arial"/>
      <family val="2"/>
      <scheme val="minor"/>
    </font>
    <font>
      <sz val="11"/>
      <color rgb="FF9C6500"/>
      <name val="Arial"/>
      <family val="2"/>
      <scheme val="minor"/>
    </font>
    <font>
      <b/>
      <sz val="11"/>
      <color rgb="FF3F3F3F"/>
      <name val="Arial"/>
      <family val="2"/>
      <scheme val="minor"/>
    </font>
    <font>
      <b/>
      <sz val="18"/>
      <color theme="3"/>
      <name val="Cambria"/>
      <family val="2"/>
    </font>
    <font>
      <b/>
      <sz val="11"/>
      <color theme="1"/>
      <name val="Arial"/>
      <family val="2"/>
      <scheme val="minor"/>
    </font>
    <font>
      <sz val="11"/>
      <color rgb="FFFF0000"/>
      <name val="Arial"/>
      <family val="2"/>
      <scheme val="minor"/>
    </font>
    <font>
      <sz val="11"/>
      <name val="Arial"/>
      <family val="2"/>
      <scheme val="minor"/>
    </font>
    <font>
      <sz val="12"/>
      <name val="Calibri"/>
      <family val="2"/>
    </font>
    <font>
      <b/>
      <sz val="12"/>
      <name val="Calibri"/>
      <family val="2"/>
    </font>
    <font>
      <b/>
      <sz val="11"/>
      <name val="Calibri"/>
      <family val="2"/>
    </font>
    <font>
      <sz val="11"/>
      <name val="Calibri"/>
      <family val="2"/>
    </font>
    <font>
      <sz val="8"/>
      <color rgb="FF000000"/>
      <name val="Tahoma"/>
      <family val="2"/>
    </font>
    <font>
      <sz val="10"/>
      <name val="Tahoma"/>
      <family val="2"/>
    </font>
    <font>
      <sz val="11"/>
      <color theme="1"/>
      <name val="Calibri"/>
      <family val="2"/>
    </font>
  </fonts>
  <fills count="4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indexed="22"/>
        <bgColor indexed="64"/>
      </patternFill>
    </fill>
    <fill>
      <patternFill patternType="solid">
        <fgColor indexed="47"/>
        <bgColor indexed="64"/>
      </patternFill>
    </fill>
    <fill>
      <patternFill patternType="solid">
        <fgColor indexed="42"/>
        <bgColor indexed="64"/>
      </patternFill>
    </fill>
    <fill>
      <patternFill patternType="solid">
        <fgColor indexed="43"/>
        <bgColor indexed="64"/>
      </patternFill>
    </fill>
    <fill>
      <patternFill patternType="solid">
        <fgColor indexed="14"/>
        <bgColor indexed="64"/>
      </patternFill>
    </fill>
    <fill>
      <patternFill patternType="solid">
        <fgColor indexed="13"/>
        <bgColor indexed="64"/>
      </patternFill>
    </fill>
    <fill>
      <patternFill patternType="solid">
        <fgColor indexed="45"/>
        <bgColor indexed="64"/>
      </patternFill>
    </fill>
    <fill>
      <patternFill patternType="solid">
        <fgColor indexed="27"/>
        <bgColor indexed="64"/>
      </patternFill>
    </fill>
    <fill>
      <patternFill patternType="solid">
        <fgColor indexed="44"/>
        <bgColor indexed="64"/>
      </patternFill>
    </fill>
    <fill>
      <patternFill patternType="solid">
        <fgColor indexed="50"/>
        <bgColor indexed="64"/>
      </patternFill>
    </fill>
    <fill>
      <patternFill patternType="solid">
        <fgColor indexed="10"/>
        <bgColor indexed="64"/>
      </patternFill>
    </fill>
    <fill>
      <patternFill patternType="solid">
        <fgColor indexed="26"/>
        <bgColor indexed="64"/>
      </patternFill>
    </fill>
    <fill>
      <patternFill patternType="solid">
        <fgColor indexed="31"/>
        <bgColor indexed="64"/>
      </patternFill>
    </fill>
    <fill>
      <patternFill patternType="solid">
        <fgColor indexed="17"/>
        <bgColor indexed="64"/>
      </patternFill>
    </fill>
    <fill>
      <patternFill patternType="solid">
        <fgColor indexed="55"/>
        <bgColor indexed="64"/>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s>
  <borders count="50">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style="double">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style="thin">
        <color indexed="64"/>
      </right>
      <top style="double">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68">
    <xf numFmtId="0" fontId="0" fillId="0" borderId="0"/>
    <xf numFmtId="0" fontId="94" fillId="2" borderId="0" applyNumberFormat="0" applyBorder="0" applyAlignment="0" applyProtection="0"/>
    <xf numFmtId="0" fontId="94" fillId="3" borderId="0" applyNumberFormat="0" applyBorder="0" applyAlignment="0" applyProtection="0"/>
    <xf numFmtId="0" fontId="94" fillId="4" borderId="0" applyNumberFormat="0" applyBorder="0" applyAlignment="0" applyProtection="0"/>
    <xf numFmtId="0" fontId="94" fillId="5" borderId="0" applyNumberFormat="0" applyBorder="0" applyAlignment="0" applyProtection="0"/>
    <xf numFmtId="0" fontId="94" fillId="24" borderId="0" applyNumberFormat="0" applyBorder="0" applyAlignment="0" applyProtection="0"/>
    <xf numFmtId="0" fontId="94" fillId="25" borderId="0" applyNumberFormat="0" applyBorder="0" applyAlignment="0" applyProtection="0"/>
    <xf numFmtId="0" fontId="94" fillId="26" borderId="0" applyNumberFormat="0" applyBorder="0" applyAlignment="0" applyProtection="0"/>
    <xf numFmtId="0" fontId="94" fillId="27" borderId="0" applyNumberFormat="0" applyBorder="0" applyAlignment="0" applyProtection="0"/>
    <xf numFmtId="0" fontId="94" fillId="6" borderId="0" applyNumberFormat="0" applyBorder="0" applyAlignment="0" applyProtection="0"/>
    <xf numFmtId="0" fontId="94" fillId="28" borderId="0" applyNumberFormat="0" applyBorder="0" applyAlignment="0" applyProtection="0"/>
    <xf numFmtId="0" fontId="94" fillId="29" borderId="0" applyNumberFormat="0" applyBorder="0" applyAlignment="0" applyProtection="0"/>
    <xf numFmtId="0" fontId="94" fillId="30" borderId="0" applyNumberFormat="0" applyBorder="0" applyAlignment="0" applyProtection="0"/>
    <xf numFmtId="0" fontId="95" fillId="31" borderId="0" applyNumberFormat="0" applyBorder="0" applyAlignment="0" applyProtection="0"/>
    <xf numFmtId="0" fontId="95" fillId="32" borderId="0" applyNumberFormat="0" applyBorder="0" applyAlignment="0" applyProtection="0"/>
    <xf numFmtId="0" fontId="95" fillId="6" borderId="0" applyNumberFormat="0" applyBorder="0" applyAlignment="0" applyProtection="0"/>
    <xf numFmtId="0" fontId="95" fillId="7" borderId="0" applyNumberFormat="0" applyBorder="0" applyAlignment="0" applyProtection="0"/>
    <xf numFmtId="0" fontId="95" fillId="33" borderId="0" applyNumberFormat="0" applyBorder="0" applyAlignment="0" applyProtection="0"/>
    <xf numFmtId="0" fontId="95" fillId="8" borderId="0" applyNumberFormat="0" applyBorder="0" applyAlignment="0" applyProtection="0"/>
    <xf numFmtId="0" fontId="95" fillId="34" borderId="0" applyNumberFormat="0" applyBorder="0" applyAlignment="0" applyProtection="0"/>
    <xf numFmtId="0" fontId="95" fillId="35" borderId="0" applyNumberFormat="0" applyBorder="0" applyAlignment="0" applyProtection="0"/>
    <xf numFmtId="0" fontId="95" fillId="36" borderId="0" applyNumberFormat="0" applyBorder="0" applyAlignment="0" applyProtection="0"/>
    <xf numFmtId="0" fontId="95" fillId="37" borderId="0" applyNumberFormat="0" applyBorder="0" applyAlignment="0" applyProtection="0"/>
    <xf numFmtId="0" fontId="95" fillId="38" borderId="0" applyNumberFormat="0" applyBorder="0" applyAlignment="0" applyProtection="0"/>
    <xf numFmtId="0" fontId="95" fillId="39" borderId="0" applyNumberFormat="0" applyBorder="0" applyAlignment="0" applyProtection="0"/>
    <xf numFmtId="0" fontId="96" fillId="40" borderId="0" applyNumberFormat="0" applyBorder="0" applyAlignment="0" applyProtection="0"/>
    <xf numFmtId="0" fontId="97" fillId="41" borderId="41" applyNumberFormat="0" applyAlignment="0" applyProtection="0"/>
    <xf numFmtId="0" fontId="98" fillId="42" borderId="42" applyNumberFormat="0" applyAlignment="0" applyProtection="0"/>
    <xf numFmtId="43" fontId="4" fillId="0" borderId="0" applyFont="0" applyFill="0" applyBorder="0" applyAlignment="0" applyProtection="0"/>
    <xf numFmtId="43" fontId="15" fillId="0" borderId="0" applyFont="0" applyFill="0" applyBorder="0" applyAlignment="0" applyProtection="0"/>
    <xf numFmtId="44" fontId="4" fillId="0" borderId="0" applyFont="0" applyFill="0" applyBorder="0" applyAlignment="0" applyProtection="0"/>
    <xf numFmtId="0" fontId="99" fillId="0" borderId="0" applyNumberFormat="0" applyFill="0" applyBorder="0" applyAlignment="0" applyProtection="0"/>
    <xf numFmtId="0" fontId="100" fillId="43" borderId="0" applyNumberFormat="0" applyBorder="0" applyAlignment="0" applyProtection="0"/>
    <xf numFmtId="0" fontId="101" fillId="0" borderId="43" applyNumberFormat="0" applyFill="0" applyAlignment="0" applyProtection="0"/>
    <xf numFmtId="0" fontId="102" fillId="0" borderId="44" applyNumberFormat="0" applyFill="0" applyAlignment="0" applyProtection="0"/>
    <xf numFmtId="0" fontId="103" fillId="0" borderId="45" applyNumberFormat="0" applyFill="0" applyAlignment="0" applyProtection="0"/>
    <xf numFmtId="0" fontId="103" fillId="0" borderId="0" applyNumberFormat="0" applyFill="0" applyBorder="0" applyAlignment="0" applyProtection="0"/>
    <xf numFmtId="0" fontId="104" fillId="44" borderId="41" applyNumberFormat="0" applyAlignment="0" applyProtection="0"/>
    <xf numFmtId="0" fontId="105" fillId="0" borderId="46" applyNumberFormat="0" applyFill="0" applyAlignment="0" applyProtection="0"/>
    <xf numFmtId="0" fontId="106" fillId="45" borderId="0" applyNumberFormat="0" applyBorder="0" applyAlignment="0" applyProtection="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15"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15" fillId="0" borderId="0"/>
    <xf numFmtId="0" fontId="15" fillId="0" borderId="0"/>
    <xf numFmtId="0" fontId="3" fillId="46" borderId="47" applyNumberFormat="0" applyFont="0" applyAlignment="0" applyProtection="0"/>
    <xf numFmtId="0" fontId="2" fillId="46" borderId="47" applyNumberFormat="0" applyFont="0" applyAlignment="0" applyProtection="0"/>
    <xf numFmtId="0" fontId="107" fillId="41" borderId="48" applyNumberFormat="0" applyAlignment="0" applyProtection="0"/>
    <xf numFmtId="9" fontId="4" fillId="0" borderId="0" applyFont="0" applyFill="0" applyBorder="0" applyAlignment="0" applyProtection="0"/>
    <xf numFmtId="0" fontId="108" fillId="0" borderId="0" applyNumberFormat="0" applyFill="0" applyBorder="0" applyAlignment="0" applyProtection="0"/>
    <xf numFmtId="0" fontId="109" fillId="0" borderId="49" applyNumberFormat="0" applyFill="0" applyAlignment="0" applyProtection="0"/>
    <xf numFmtId="0" fontId="110" fillId="0" borderId="0" applyNumberFormat="0" applyFill="0" applyBorder="0" applyAlignment="0" applyProtection="0"/>
  </cellStyleXfs>
  <cellXfs count="768">
    <xf numFmtId="0" fontId="0" fillId="0" borderId="0" xfId="0"/>
    <xf numFmtId="0" fontId="10" fillId="0" borderId="0" xfId="0" applyFont="1"/>
    <xf numFmtId="165" fontId="15" fillId="0" borderId="0" xfId="28" applyNumberFormat="1" applyFont="1"/>
    <xf numFmtId="43" fontId="15" fillId="0" borderId="0" xfId="28" applyFont="1"/>
    <xf numFmtId="0" fontId="8" fillId="0" borderId="0" xfId="0" applyFont="1"/>
    <xf numFmtId="0" fontId="7" fillId="0" borderId="0" xfId="0" applyFont="1"/>
    <xf numFmtId="0" fontId="12" fillId="0" borderId="0" xfId="0" applyFont="1"/>
    <xf numFmtId="165" fontId="15" fillId="0" borderId="0" xfId="28" applyNumberFormat="1" applyFont="1" applyFill="1"/>
    <xf numFmtId="10" fontId="15" fillId="0" borderId="0" xfId="64" applyNumberFormat="1" applyFont="1" applyFill="1"/>
    <xf numFmtId="165" fontId="16" fillId="9" borderId="6" xfId="28" applyNumberFormat="1" applyFont="1" applyFill="1" applyBorder="1" applyAlignment="1">
      <alignment horizontal="center" wrapText="1"/>
    </xf>
    <xf numFmtId="165" fontId="16" fillId="0" borderId="0" xfId="28" applyNumberFormat="1" applyFont="1" applyFill="1" applyAlignment="1">
      <alignment horizontal="center"/>
    </xf>
    <xf numFmtId="165" fontId="16" fillId="0" borderId="0" xfId="28" applyNumberFormat="1" applyFont="1" applyFill="1"/>
    <xf numFmtId="165" fontId="17" fillId="0" borderId="0" xfId="28" applyNumberFormat="1" applyFont="1" applyFill="1"/>
    <xf numFmtId="43" fontId="15" fillId="0" borderId="0" xfId="28" applyFont="1" applyFill="1"/>
    <xf numFmtId="165" fontId="19" fillId="0" borderId="0" xfId="28" applyNumberFormat="1" applyFont="1"/>
    <xf numFmtId="167" fontId="7" fillId="0" borderId="8" xfId="0" applyNumberFormat="1" applyFont="1" applyBorder="1"/>
    <xf numFmtId="0" fontId="5" fillId="0" borderId="0" xfId="0" applyFont="1"/>
    <xf numFmtId="0" fontId="0" fillId="0" borderId="0" xfId="0" applyAlignment="1">
      <alignment wrapText="1"/>
    </xf>
    <xf numFmtId="165" fontId="0" fillId="0" borderId="0" xfId="28" applyNumberFormat="1" applyFont="1"/>
    <xf numFmtId="0" fontId="23" fillId="0" borderId="0" xfId="59" applyFont="1"/>
    <xf numFmtId="0" fontId="15" fillId="0" borderId="0" xfId="59"/>
    <xf numFmtId="43" fontId="16" fillId="0" borderId="0" xfId="28" applyFont="1" applyBorder="1" applyAlignment="1">
      <alignment horizontal="center"/>
    </xf>
    <xf numFmtId="0" fontId="17" fillId="0" borderId="0" xfId="59" applyFont="1"/>
    <xf numFmtId="43" fontId="19" fillId="9" borderId="11" xfId="28" applyFont="1" applyFill="1" applyBorder="1" applyAlignment="1">
      <alignment horizontal="centerContinuous"/>
    </xf>
    <xf numFmtId="43" fontId="19" fillId="9" borderId="12" xfId="28" applyFont="1" applyFill="1" applyBorder="1" applyAlignment="1">
      <alignment horizontal="centerContinuous"/>
    </xf>
    <xf numFmtId="43" fontId="19" fillId="9" borderId="13" xfId="28" applyFont="1" applyFill="1" applyBorder="1" applyAlignment="1">
      <alignment horizontal="centerContinuous"/>
    </xf>
    <xf numFmtId="43" fontId="19" fillId="9" borderId="14" xfId="28" applyFont="1" applyFill="1" applyBorder="1" applyAlignment="1">
      <alignment horizontal="centerContinuous"/>
    </xf>
    <xf numFmtId="43" fontId="19" fillId="9" borderId="6" xfId="28" applyFont="1" applyFill="1" applyBorder="1" applyAlignment="1">
      <alignment horizontal="centerContinuous"/>
    </xf>
    <xf numFmtId="43" fontId="16" fillId="9" borderId="6" xfId="28" applyFont="1" applyFill="1" applyBorder="1" applyAlignment="1">
      <alignment horizontal="center"/>
    </xf>
    <xf numFmtId="43" fontId="15" fillId="0" borderId="0" xfId="28" applyFont="1" applyBorder="1" applyAlignment="1">
      <alignment horizontal="centerContinuous"/>
    </xf>
    <xf numFmtId="43" fontId="16" fillId="0" borderId="0" xfId="28" applyFont="1" applyAlignment="1">
      <alignment horizontal="center"/>
    </xf>
    <xf numFmtId="169" fontId="15" fillId="0" borderId="0" xfId="59" applyNumberFormat="1"/>
    <xf numFmtId="169" fontId="17" fillId="0" borderId="0" xfId="59" applyNumberFormat="1" applyFont="1"/>
    <xf numFmtId="169" fontId="16" fillId="0" borderId="0" xfId="59" applyNumberFormat="1" applyFont="1"/>
    <xf numFmtId="169" fontId="16" fillId="0" borderId="0" xfId="28" applyNumberFormat="1" applyFont="1" applyFill="1"/>
    <xf numFmtId="169" fontId="16" fillId="0" borderId="0" xfId="28" applyNumberFormat="1" applyFont="1" applyFill="1" applyAlignment="1">
      <alignment horizontal="center"/>
    </xf>
    <xf numFmtId="169" fontId="15" fillId="0" borderId="0" xfId="28" applyNumberFormat="1" applyFont="1"/>
    <xf numFmtId="0" fontId="16" fillId="0" borderId="0" xfId="59" applyFont="1"/>
    <xf numFmtId="0" fontId="19" fillId="0" borderId="0" xfId="59" applyFont="1"/>
    <xf numFmtId="2" fontId="15" fillId="0" borderId="0" xfId="59" applyNumberFormat="1"/>
    <xf numFmtId="10" fontId="15" fillId="0" borderId="0" xfId="59" applyNumberFormat="1"/>
    <xf numFmtId="0" fontId="15" fillId="10" borderId="0" xfId="59" applyFill="1"/>
    <xf numFmtId="10" fontId="15" fillId="10" borderId="0" xfId="64" applyNumberFormat="1" applyFont="1" applyFill="1"/>
    <xf numFmtId="165" fontId="15" fillId="10" borderId="0" xfId="28" applyNumberFormat="1" applyFont="1" applyFill="1"/>
    <xf numFmtId="9" fontId="15" fillId="0" borderId="0" xfId="59" applyNumberFormat="1"/>
    <xf numFmtId="165" fontId="15" fillId="0" borderId="0" xfId="28" applyNumberFormat="1" applyFont="1" applyFill="1" applyBorder="1"/>
    <xf numFmtId="164" fontId="15" fillId="0" borderId="0" xfId="59" applyNumberFormat="1"/>
    <xf numFmtId="165" fontId="15" fillId="0" borderId="15" xfId="28" applyNumberFormat="1" applyFont="1" applyFill="1" applyBorder="1"/>
    <xf numFmtId="0" fontId="15" fillId="11" borderId="0" xfId="59" applyFill="1"/>
    <xf numFmtId="14" fontId="15" fillId="11" borderId="0" xfId="59" applyNumberFormat="1" applyFill="1"/>
    <xf numFmtId="10" fontId="15" fillId="11" borderId="0" xfId="59" applyNumberFormat="1" applyFill="1"/>
    <xf numFmtId="165" fontId="15" fillId="11" borderId="0" xfId="28" applyNumberFormat="1" applyFont="1" applyFill="1"/>
    <xf numFmtId="14" fontId="15" fillId="0" borderId="0" xfId="59" applyNumberFormat="1"/>
    <xf numFmtId="0" fontId="15" fillId="12" borderId="0" xfId="59" applyFill="1"/>
    <xf numFmtId="14" fontId="15" fillId="12" borderId="0" xfId="59" applyNumberFormat="1" applyFill="1"/>
    <xf numFmtId="10" fontId="15" fillId="12" borderId="0" xfId="59" applyNumberFormat="1" applyFill="1"/>
    <xf numFmtId="165" fontId="15" fillId="12" borderId="0" xfId="28" applyNumberFormat="1" applyFont="1" applyFill="1"/>
    <xf numFmtId="165" fontId="15" fillId="12" borderId="0" xfId="28" applyNumberFormat="1" applyFont="1" applyFill="1" applyBorder="1"/>
    <xf numFmtId="0" fontId="7" fillId="0" borderId="0" xfId="59" applyFont="1"/>
    <xf numFmtId="14" fontId="7" fillId="0" borderId="0" xfId="59" applyNumberFormat="1" applyFont="1"/>
    <xf numFmtId="165" fontId="15" fillId="13" borderId="15" xfId="28" applyNumberFormat="1" applyFont="1" applyFill="1" applyBorder="1"/>
    <xf numFmtId="0" fontId="7" fillId="12" borderId="0" xfId="59" applyFont="1" applyFill="1"/>
    <xf numFmtId="164" fontId="15" fillId="12" borderId="0" xfId="59" applyNumberFormat="1" applyFill="1"/>
    <xf numFmtId="0" fontId="7" fillId="10" borderId="0" xfId="59" applyFont="1" applyFill="1"/>
    <xf numFmtId="14" fontId="15" fillId="10" borderId="0" xfId="59" applyNumberFormat="1" applyFill="1"/>
    <xf numFmtId="164" fontId="15" fillId="10" borderId="0" xfId="59" applyNumberFormat="1" applyFill="1"/>
    <xf numFmtId="14" fontId="7" fillId="12" borderId="0" xfId="59" applyNumberFormat="1" applyFont="1" applyFill="1"/>
    <xf numFmtId="14" fontId="7" fillId="10" borderId="0" xfId="59" applyNumberFormat="1" applyFont="1" applyFill="1"/>
    <xf numFmtId="10" fontId="15" fillId="10" borderId="0" xfId="59" applyNumberFormat="1" applyFill="1"/>
    <xf numFmtId="165" fontId="15" fillId="10" borderId="0" xfId="28" applyNumberFormat="1" applyFont="1" applyFill="1" applyBorder="1"/>
    <xf numFmtId="0" fontId="7" fillId="10" borderId="0" xfId="59" applyFont="1" applyFill="1" applyAlignment="1">
      <alignment horizontal="left"/>
    </xf>
    <xf numFmtId="0" fontId="9" fillId="0" borderId="0" xfId="59" applyFont="1"/>
    <xf numFmtId="0" fontId="7" fillId="11" borderId="0" xfId="59" applyFont="1" applyFill="1"/>
    <xf numFmtId="165" fontId="15" fillId="11" borderId="0" xfId="28" applyNumberFormat="1" applyFont="1" applyFill="1" applyBorder="1"/>
    <xf numFmtId="165" fontId="19" fillId="0" borderId="16" xfId="28" applyNumberFormat="1" applyFont="1" applyFill="1" applyBorder="1"/>
    <xf numFmtId="0" fontId="20" fillId="0" borderId="0" xfId="0" applyFont="1"/>
    <xf numFmtId="0" fontId="24" fillId="0" borderId="0" xfId="0" applyFont="1"/>
    <xf numFmtId="43" fontId="24" fillId="0" borderId="0" xfId="28" applyFont="1"/>
    <xf numFmtId="0" fontId="24" fillId="0" borderId="0" xfId="28" quotePrefix="1" applyNumberFormat="1" applyFont="1" applyAlignment="1">
      <alignment horizontal="center"/>
    </xf>
    <xf numFmtId="0" fontId="24" fillId="0" borderId="0" xfId="28" applyNumberFormat="1" applyFont="1" applyAlignment="1">
      <alignment horizontal="center"/>
    </xf>
    <xf numFmtId="43" fontId="12" fillId="0" borderId="0" xfId="28" applyFont="1"/>
    <xf numFmtId="43" fontId="25" fillId="0" borderId="0" xfId="28" applyFont="1"/>
    <xf numFmtId="0" fontId="25" fillId="0" borderId="0" xfId="0" applyFont="1"/>
    <xf numFmtId="0" fontId="23" fillId="0" borderId="0" xfId="60" applyFont="1"/>
    <xf numFmtId="0" fontId="15" fillId="0" borderId="0" xfId="60"/>
    <xf numFmtId="0" fontId="16" fillId="0" borderId="0" xfId="60" applyFont="1" applyAlignment="1">
      <alignment wrapText="1"/>
    </xf>
    <xf numFmtId="165" fontId="16" fillId="0" borderId="0" xfId="28" applyNumberFormat="1" applyFont="1" applyAlignment="1">
      <alignment horizontal="center" wrapText="1"/>
    </xf>
    <xf numFmtId="43" fontId="19" fillId="0" borderId="0" xfId="28" applyFont="1" applyAlignment="1">
      <alignment wrapText="1"/>
    </xf>
    <xf numFmtId="43" fontId="16" fillId="0" borderId="0" xfId="28" applyFont="1" applyAlignment="1">
      <alignment horizontal="center" wrapText="1"/>
    </xf>
    <xf numFmtId="43" fontId="16" fillId="0" borderId="0" xfId="28" applyFont="1" applyAlignment="1">
      <alignment wrapText="1"/>
    </xf>
    <xf numFmtId="43" fontId="15" fillId="0" borderId="0" xfId="28" applyFont="1" applyAlignment="1">
      <alignment wrapText="1"/>
    </xf>
    <xf numFmtId="0" fontId="15" fillId="0" borderId="0" xfId="60" applyAlignment="1">
      <alignment wrapText="1"/>
    </xf>
    <xf numFmtId="0" fontId="18" fillId="0" borderId="0" xfId="60" applyFont="1"/>
    <xf numFmtId="9" fontId="15" fillId="0" borderId="0" xfId="64" applyFont="1"/>
    <xf numFmtId="43" fontId="19" fillId="0" borderId="16" xfId="28" applyFont="1" applyBorder="1"/>
    <xf numFmtId="43" fontId="19" fillId="12" borderId="16" xfId="28" applyFont="1" applyFill="1" applyBorder="1"/>
    <xf numFmtId="0" fontId="10" fillId="0" borderId="0" xfId="0" applyFont="1" applyAlignment="1">
      <alignment horizontal="center" vertical="center" wrapText="1"/>
    </xf>
    <xf numFmtId="165" fontId="10" fillId="0" borderId="3" xfId="28" applyNumberFormat="1" applyFont="1" applyBorder="1"/>
    <xf numFmtId="165" fontId="10" fillId="0" borderId="17" xfId="28" applyNumberFormat="1" applyFont="1" applyBorder="1"/>
    <xf numFmtId="165" fontId="10" fillId="0" borderId="9" xfId="28" applyNumberFormat="1" applyFont="1" applyBorder="1"/>
    <xf numFmtId="0" fontId="22" fillId="0" borderId="4" xfId="0" applyFont="1" applyBorder="1" applyAlignment="1">
      <alignment horizontal="center" vertical="center" wrapText="1"/>
    </xf>
    <xf numFmtId="0" fontId="22" fillId="0" borderId="9" xfId="0" applyFont="1" applyBorder="1" applyAlignment="1">
      <alignment horizontal="center" vertical="center" wrapText="1"/>
    </xf>
    <xf numFmtId="10" fontId="10" fillId="0" borderId="0" xfId="64" applyNumberFormat="1" applyFont="1"/>
    <xf numFmtId="49" fontId="10" fillId="0" borderId="0" xfId="0" applyNumberFormat="1" applyFont="1"/>
    <xf numFmtId="165" fontId="10" fillId="14" borderId="3" xfId="28" applyNumberFormat="1" applyFont="1" applyFill="1" applyBorder="1"/>
    <xf numFmtId="0" fontId="22" fillId="0" borderId="7" xfId="0" applyFont="1" applyBorder="1" applyAlignment="1">
      <alignment horizontal="center" vertical="center" wrapText="1"/>
    </xf>
    <xf numFmtId="165" fontId="10" fillId="0" borderId="8" xfId="28" applyNumberFormat="1" applyFont="1" applyBorder="1"/>
    <xf numFmtId="165" fontId="10" fillId="0" borderId="7" xfId="28" applyNumberFormat="1" applyFont="1" applyBorder="1"/>
    <xf numFmtId="0" fontId="10" fillId="0" borderId="1" xfId="0" applyFont="1" applyBorder="1"/>
    <xf numFmtId="0" fontId="10" fillId="0" borderId="18" xfId="0" applyFont="1" applyBorder="1"/>
    <xf numFmtId="0" fontId="10" fillId="0" borderId="10" xfId="0" applyFont="1" applyBorder="1"/>
    <xf numFmtId="165" fontId="10" fillId="11" borderId="3" xfId="28" applyNumberFormat="1" applyFont="1" applyFill="1" applyBorder="1"/>
    <xf numFmtId="165" fontId="10" fillId="15" borderId="3" xfId="28" applyNumberFormat="1" applyFont="1" applyFill="1" applyBorder="1"/>
    <xf numFmtId="165" fontId="10" fillId="12" borderId="3" xfId="28" applyNumberFormat="1" applyFont="1" applyFill="1" applyBorder="1"/>
    <xf numFmtId="165" fontId="10" fillId="12" borderId="4" xfId="28" applyNumberFormat="1" applyFont="1" applyFill="1" applyBorder="1"/>
    <xf numFmtId="0" fontId="26" fillId="0" borderId="0" xfId="0" applyFont="1"/>
    <xf numFmtId="170" fontId="0" fillId="0" borderId="0" xfId="0" applyNumberFormat="1"/>
    <xf numFmtId="170" fontId="15" fillId="0" borderId="0" xfId="28" applyNumberFormat="1" applyFont="1" applyFill="1" applyBorder="1"/>
    <xf numFmtId="0" fontId="27" fillId="0" borderId="0" xfId="0" applyFont="1"/>
    <xf numFmtId="0" fontId="28" fillId="0" borderId="0" xfId="0" applyFont="1"/>
    <xf numFmtId="0" fontId="15" fillId="0" borderId="0" xfId="0" applyFont="1"/>
    <xf numFmtId="0" fontId="19" fillId="0" borderId="0" xfId="0" applyFont="1"/>
    <xf numFmtId="170" fontId="19" fillId="0" borderId="0" xfId="28" applyNumberFormat="1" applyFont="1" applyFill="1" applyBorder="1"/>
    <xf numFmtId="165" fontId="19" fillId="0" borderId="0" xfId="28" applyNumberFormat="1" applyFont="1" applyFill="1" applyBorder="1"/>
    <xf numFmtId="0" fontId="22" fillId="0" borderId="0" xfId="0" applyFont="1" applyAlignment="1">
      <alignment wrapText="1"/>
    </xf>
    <xf numFmtId="170" fontId="22" fillId="0" borderId="0" xfId="28" applyNumberFormat="1" applyFont="1" applyFill="1" applyBorder="1" applyAlignment="1">
      <alignment wrapText="1"/>
    </xf>
    <xf numFmtId="165" fontId="22" fillId="0" borderId="0" xfId="28" applyNumberFormat="1" applyFont="1" applyFill="1" applyBorder="1" applyAlignment="1">
      <alignment wrapText="1"/>
    </xf>
    <xf numFmtId="37" fontId="0" fillId="0" borderId="0" xfId="0" applyNumberFormat="1"/>
    <xf numFmtId="37" fontId="27" fillId="0" borderId="0" xfId="0" applyNumberFormat="1" applyFont="1"/>
    <xf numFmtId="37" fontId="28" fillId="0" borderId="0" xfId="0" applyNumberFormat="1" applyFont="1"/>
    <xf numFmtId="10" fontId="28" fillId="0" borderId="0" xfId="64" applyNumberFormat="1" applyFont="1" applyFill="1" applyBorder="1"/>
    <xf numFmtId="37" fontId="29" fillId="0" borderId="0" xfId="0" applyNumberFormat="1" applyFont="1"/>
    <xf numFmtId="170" fontId="30" fillId="0" borderId="0" xfId="28" applyNumberFormat="1" applyFont="1" applyFill="1" applyBorder="1"/>
    <xf numFmtId="43" fontId="0" fillId="0" borderId="0" xfId="28" applyFont="1" applyFill="1"/>
    <xf numFmtId="39" fontId="27" fillId="0" borderId="0" xfId="0" applyNumberFormat="1" applyFont="1"/>
    <xf numFmtId="37" fontId="15" fillId="0" borderId="0" xfId="0" applyNumberFormat="1" applyFont="1"/>
    <xf numFmtId="39" fontId="29" fillId="0" borderId="0" xfId="0" applyNumberFormat="1" applyFont="1"/>
    <xf numFmtId="0" fontId="31" fillId="0" borderId="0" xfId="0" applyFont="1"/>
    <xf numFmtId="43" fontId="19" fillId="0" borderId="0" xfId="28" applyFont="1" applyFill="1" applyBorder="1"/>
    <xf numFmtId="43" fontId="0" fillId="0" borderId="0" xfId="28" applyFont="1" applyFill="1" applyBorder="1"/>
    <xf numFmtId="43" fontId="15" fillId="0" borderId="0" xfId="28" applyFont="1" applyFill="1" applyBorder="1"/>
    <xf numFmtId="0" fontId="4" fillId="0" borderId="0" xfId="0" applyFont="1"/>
    <xf numFmtId="0" fontId="4" fillId="0" borderId="0" xfId="0" applyFont="1" applyAlignment="1">
      <alignment horizontal="left" indent="2"/>
    </xf>
    <xf numFmtId="0" fontId="0" fillId="0" borderId="0" xfId="0" applyAlignment="1">
      <alignment horizontal="left" indent="2"/>
    </xf>
    <xf numFmtId="0" fontId="32" fillId="0" borderId="0" xfId="0" applyFont="1" applyAlignment="1">
      <alignment horizontal="left"/>
    </xf>
    <xf numFmtId="0" fontId="4" fillId="0" borderId="0" xfId="0" applyFont="1" applyAlignment="1">
      <alignment horizontal="left"/>
    </xf>
    <xf numFmtId="171" fontId="0" fillId="0" borderId="0" xfId="0" applyNumberFormat="1" applyAlignment="1">
      <alignment horizontal="left" indent="2"/>
    </xf>
    <xf numFmtId="0" fontId="32" fillId="0" borderId="0" xfId="0" applyFont="1"/>
    <xf numFmtId="165" fontId="4" fillId="0" borderId="0" xfId="28" applyNumberFormat="1" applyFont="1"/>
    <xf numFmtId="165" fontId="0" fillId="0" borderId="16" xfId="28" applyNumberFormat="1" applyFont="1" applyBorder="1"/>
    <xf numFmtId="9" fontId="0" fillId="0" borderId="0" xfId="0" applyNumberFormat="1"/>
    <xf numFmtId="43" fontId="0" fillId="0" borderId="0" xfId="0" applyNumberFormat="1"/>
    <xf numFmtId="0" fontId="34" fillId="0" borderId="0" xfId="0" applyFont="1"/>
    <xf numFmtId="166" fontId="6" fillId="0" borderId="1" xfId="0" quotePrefix="1" applyNumberFormat="1" applyFont="1" applyBorder="1" applyAlignment="1">
      <alignment horizontal="center"/>
    </xf>
    <xf numFmtId="166" fontId="6" fillId="0" borderId="10" xfId="0" quotePrefix="1" applyNumberFormat="1" applyFont="1" applyBorder="1" applyAlignment="1">
      <alignment horizontal="center"/>
    </xf>
    <xf numFmtId="166" fontId="6" fillId="0" borderId="18" xfId="0" quotePrefix="1" applyNumberFormat="1" applyFont="1" applyBorder="1" applyAlignment="1">
      <alignment horizontal="center"/>
    </xf>
    <xf numFmtId="0" fontId="41" fillId="0" borderId="0" xfId="0" applyFont="1"/>
    <xf numFmtId="0" fontId="19" fillId="0" borderId="20" xfId="0" applyFont="1" applyBorder="1"/>
    <xf numFmtId="0" fontId="15" fillId="0" borderId="15" xfId="0" applyFont="1" applyBorder="1"/>
    <xf numFmtId="0" fontId="15" fillId="0" borderId="21" xfId="0" applyFont="1" applyBorder="1"/>
    <xf numFmtId="0" fontId="15" fillId="11" borderId="0" xfId="0" applyFont="1" applyFill="1"/>
    <xf numFmtId="0" fontId="15" fillId="0" borderId="0" xfId="0" quotePrefix="1" applyFont="1"/>
    <xf numFmtId="7" fontId="21" fillId="0" borderId="5" xfId="0" applyNumberFormat="1" applyFont="1" applyBorder="1"/>
    <xf numFmtId="0" fontId="21" fillId="0" borderId="1" xfId="0" applyFont="1" applyBorder="1"/>
    <xf numFmtId="0" fontId="21" fillId="0" borderId="3" xfId="0" applyFont="1" applyBorder="1"/>
    <xf numFmtId="0" fontId="21" fillId="0" borderId="4" xfId="0" applyFont="1" applyBorder="1"/>
    <xf numFmtId="10" fontId="21" fillId="0" borderId="10" xfId="64" applyNumberFormat="1" applyFont="1" applyBorder="1"/>
    <xf numFmtId="7" fontId="21" fillId="0" borderId="7" xfId="0" applyNumberFormat="1" applyFont="1" applyBorder="1"/>
    <xf numFmtId="10" fontId="21" fillId="0" borderId="2" xfId="64" applyNumberFormat="1" applyFont="1" applyBorder="1"/>
    <xf numFmtId="10" fontId="21" fillId="0" borderId="2" xfId="64" applyNumberFormat="1" applyFont="1" applyFill="1" applyBorder="1"/>
    <xf numFmtId="10" fontId="21" fillId="17" borderId="10" xfId="64" applyNumberFormat="1" applyFont="1" applyFill="1" applyBorder="1"/>
    <xf numFmtId="7" fontId="21" fillId="17" borderId="7" xfId="0" applyNumberFormat="1" applyFont="1" applyFill="1" applyBorder="1"/>
    <xf numFmtId="0" fontId="44" fillId="0" borderId="0" xfId="0" applyFont="1"/>
    <xf numFmtId="170" fontId="15" fillId="0" borderId="0" xfId="0" applyNumberFormat="1" applyFont="1"/>
    <xf numFmtId="0" fontId="15" fillId="0" borderId="0" xfId="0" applyFont="1" applyAlignment="1">
      <alignment wrapText="1"/>
    </xf>
    <xf numFmtId="0" fontId="19" fillId="0" borderId="0" xfId="0" applyFont="1" applyAlignment="1">
      <alignment wrapText="1"/>
    </xf>
    <xf numFmtId="170" fontId="19" fillId="0" borderId="0" xfId="28" applyNumberFormat="1" applyFont="1" applyFill="1" applyBorder="1" applyAlignment="1">
      <alignment wrapText="1"/>
    </xf>
    <xf numFmtId="165" fontId="19" fillId="0" borderId="0" xfId="28" applyNumberFormat="1" applyFont="1" applyFill="1" applyBorder="1" applyAlignment="1">
      <alignment wrapText="1"/>
    </xf>
    <xf numFmtId="0" fontId="17" fillId="0" borderId="0" xfId="0" applyFont="1"/>
    <xf numFmtId="166" fontId="20" fillId="0" borderId="1" xfId="0" quotePrefix="1" applyNumberFormat="1" applyFont="1" applyBorder="1" applyAlignment="1">
      <alignment horizontal="right"/>
    </xf>
    <xf numFmtId="166" fontId="20" fillId="0" borderId="10" xfId="0" quotePrefix="1" applyNumberFormat="1" applyFont="1" applyBorder="1" applyAlignment="1">
      <alignment horizontal="right"/>
    </xf>
    <xf numFmtId="166" fontId="20" fillId="0" borderId="18" xfId="0" quotePrefix="1" applyNumberFormat="1" applyFont="1" applyBorder="1" applyAlignment="1">
      <alignment horizontal="right"/>
    </xf>
    <xf numFmtId="166" fontId="20" fillId="0" borderId="3" xfId="0" applyNumberFormat="1" applyFont="1" applyBorder="1" applyAlignment="1">
      <alignment horizontal="right"/>
    </xf>
    <xf numFmtId="166" fontId="20" fillId="0" borderId="8" xfId="0" applyNumberFormat="1" applyFont="1" applyBorder="1" applyAlignment="1">
      <alignment horizontal="right"/>
    </xf>
    <xf numFmtId="166" fontId="20" fillId="0" borderId="17" xfId="0" applyNumberFormat="1" applyFont="1" applyBorder="1" applyAlignment="1">
      <alignment horizontal="right"/>
    </xf>
    <xf numFmtId="0" fontId="20" fillId="0" borderId="4" xfId="0" applyFont="1" applyBorder="1" applyAlignment="1">
      <alignment horizontal="right" vertical="center" wrapText="1"/>
    </xf>
    <xf numFmtId="0" fontId="20" fillId="0" borderId="7" xfId="0" applyFont="1" applyBorder="1" applyAlignment="1">
      <alignment horizontal="right" vertical="center" wrapText="1"/>
    </xf>
    <xf numFmtId="0" fontId="20" fillId="0" borderId="9" xfId="0" applyFont="1" applyBorder="1" applyAlignment="1">
      <alignment horizontal="right" vertical="center" wrapText="1"/>
    </xf>
    <xf numFmtId="0" fontId="47" fillId="0" borderId="0" xfId="0" applyFont="1"/>
    <xf numFmtId="4" fontId="35" fillId="0" borderId="7" xfId="0" applyNumberFormat="1" applyFont="1" applyBorder="1"/>
    <xf numFmtId="166" fontId="20" fillId="0" borderId="0" xfId="0" quotePrefix="1" applyNumberFormat="1" applyFont="1" applyAlignment="1">
      <alignment horizontal="right"/>
    </xf>
    <xf numFmtId="166" fontId="20" fillId="0" borderId="0" xfId="0" applyNumberFormat="1" applyFont="1" applyAlignment="1">
      <alignment horizontal="right"/>
    </xf>
    <xf numFmtId="0" fontId="49" fillId="0" borderId="0" xfId="0" applyFont="1"/>
    <xf numFmtId="0" fontId="49" fillId="0" borderId="0" xfId="0" applyFont="1" applyAlignment="1">
      <alignment horizontal="center"/>
    </xf>
    <xf numFmtId="0" fontId="35" fillId="0" borderId="0" xfId="0" applyFont="1"/>
    <xf numFmtId="10" fontId="44" fillId="0" borderId="0" xfId="64" applyNumberFormat="1" applyFont="1" applyFill="1" applyAlignment="1">
      <alignment horizontal="center"/>
    </xf>
    <xf numFmtId="0" fontId="48" fillId="0" borderId="1" xfId="0" applyFont="1" applyBorder="1"/>
    <xf numFmtId="0" fontId="48" fillId="0" borderId="2" xfId="0" applyFont="1" applyBorder="1"/>
    <xf numFmtId="3" fontId="48" fillId="0" borderId="10" xfId="0" quotePrefix="1" applyNumberFormat="1" applyFont="1" applyBorder="1" applyAlignment="1">
      <alignment horizontal="centerContinuous"/>
    </xf>
    <xf numFmtId="0" fontId="48" fillId="0" borderId="4" xfId="0" applyFont="1" applyBorder="1" applyAlignment="1">
      <alignment horizontal="centerContinuous"/>
    </xf>
    <xf numFmtId="0" fontId="48" fillId="0" borderId="5" xfId="0" applyFont="1" applyBorder="1" applyAlignment="1">
      <alignment horizontal="centerContinuous"/>
    </xf>
    <xf numFmtId="3" fontId="48" fillId="0" borderId="7" xfId="0" applyNumberFormat="1" applyFont="1" applyBorder="1" applyAlignment="1">
      <alignment horizontal="centerContinuous"/>
    </xf>
    <xf numFmtId="0" fontId="48" fillId="0" borderId="3" xfId="0" applyFont="1" applyBorder="1"/>
    <xf numFmtId="0" fontId="52" fillId="0" borderId="3" xfId="0" applyFont="1" applyBorder="1"/>
    <xf numFmtId="0" fontId="35" fillId="0" borderId="3" xfId="0" applyFont="1" applyBorder="1"/>
    <xf numFmtId="167" fontId="35" fillId="0" borderId="8" xfId="0" applyNumberFormat="1" applyFont="1" applyBorder="1"/>
    <xf numFmtId="167" fontId="35" fillId="0" borderId="0" xfId="0" applyNumberFormat="1" applyFont="1"/>
    <xf numFmtId="0" fontId="35" fillId="0" borderId="2" xfId="0" applyFont="1" applyBorder="1"/>
    <xf numFmtId="0" fontId="35" fillId="0" borderId="4" xfId="0" applyFont="1" applyBorder="1"/>
    <xf numFmtId="0" fontId="35" fillId="0" borderId="5" xfId="0" applyFont="1" applyBorder="1"/>
    <xf numFmtId="10" fontId="44" fillId="0" borderId="0" xfId="64" applyNumberFormat="1" applyFont="1" applyFill="1" applyAlignment="1">
      <alignment horizontal="left"/>
    </xf>
    <xf numFmtId="166" fontId="48" fillId="0" borderId="10" xfId="0" quotePrefix="1" applyNumberFormat="1" applyFont="1" applyBorder="1" applyAlignment="1">
      <alignment horizontal="centerContinuous"/>
    </xf>
    <xf numFmtId="0" fontId="51" fillId="0" borderId="0" xfId="0" applyFont="1"/>
    <xf numFmtId="166" fontId="48" fillId="0" borderId="7" xfId="0" applyNumberFormat="1" applyFont="1" applyBorder="1" applyAlignment="1">
      <alignment horizontal="centerContinuous"/>
    </xf>
    <xf numFmtId="167" fontId="35" fillId="0" borderId="10" xfId="0" applyNumberFormat="1" applyFont="1" applyBorder="1"/>
    <xf numFmtId="167" fontId="35" fillId="0" borderId="2" xfId="0" applyNumberFormat="1" applyFont="1" applyBorder="1"/>
    <xf numFmtId="167" fontId="35" fillId="0" borderId="18" xfId="0" applyNumberFormat="1" applyFont="1" applyBorder="1"/>
    <xf numFmtId="167" fontId="35" fillId="0" borderId="17" xfId="0" applyNumberFormat="1" applyFont="1" applyBorder="1"/>
    <xf numFmtId="10" fontId="44" fillId="0" borderId="0" xfId="64" applyNumberFormat="1" applyFont="1" applyFill="1" applyAlignment="1"/>
    <xf numFmtId="0" fontId="44" fillId="0" borderId="19" xfId="0" applyFont="1" applyBorder="1"/>
    <xf numFmtId="0" fontId="48" fillId="0" borderId="19" xfId="0" applyFont="1" applyBorder="1"/>
    <xf numFmtId="167" fontId="35" fillId="0" borderId="7" xfId="0" applyNumberFormat="1" applyFont="1" applyBorder="1"/>
    <xf numFmtId="167" fontId="35" fillId="0" borderId="5" xfId="0" applyNumberFormat="1" applyFont="1" applyBorder="1"/>
    <xf numFmtId="167" fontId="35" fillId="0" borderId="9" xfId="0" applyNumberFormat="1" applyFont="1" applyBorder="1"/>
    <xf numFmtId="0" fontId="35" fillId="0" borderId="3" xfId="0" quotePrefix="1" applyFont="1" applyBorder="1"/>
    <xf numFmtId="167" fontId="48" fillId="0" borderId="10" xfId="0" applyNumberFormat="1" applyFont="1" applyBorder="1"/>
    <xf numFmtId="0" fontId="54" fillId="0" borderId="0" xfId="0" applyFont="1"/>
    <xf numFmtId="3" fontId="54" fillId="0" borderId="0" xfId="0" applyNumberFormat="1" applyFont="1"/>
    <xf numFmtId="0" fontId="44" fillId="0" borderId="0" xfId="0" applyFont="1" applyAlignment="1">
      <alignment horizontal="center"/>
    </xf>
    <xf numFmtId="10" fontId="55" fillId="0" borderId="0" xfId="0" applyNumberFormat="1" applyFont="1" applyAlignment="1">
      <alignment horizontal="center"/>
    </xf>
    <xf numFmtId="10" fontId="49" fillId="0" borderId="0" xfId="0" applyNumberFormat="1" applyFont="1" applyAlignment="1">
      <alignment horizontal="center"/>
    </xf>
    <xf numFmtId="0" fontId="50" fillId="0" borderId="0" xfId="0" applyFont="1" applyAlignment="1">
      <alignment horizontal="centerContinuous"/>
    </xf>
    <xf numFmtId="0" fontId="44" fillId="0" borderId="0" xfId="0" applyFont="1" applyAlignment="1">
      <alignment horizontal="centerContinuous"/>
    </xf>
    <xf numFmtId="0" fontId="44" fillId="0" borderId="0" xfId="0" applyFont="1" applyAlignment="1">
      <alignment horizontal="left"/>
    </xf>
    <xf numFmtId="0" fontId="44" fillId="0" borderId="4" xfId="0" applyFont="1" applyBorder="1"/>
    <xf numFmtId="4" fontId="44" fillId="0" borderId="0" xfId="0" applyNumberFormat="1" applyFont="1"/>
    <xf numFmtId="0" fontId="44" fillId="0" borderId="5" xfId="0" applyFont="1" applyBorder="1"/>
    <xf numFmtId="167" fontId="51" fillId="0" borderId="7" xfId="0" applyNumberFormat="1" applyFont="1" applyBorder="1"/>
    <xf numFmtId="0" fontId="44" fillId="0" borderId="15" xfId="0" applyFont="1" applyBorder="1"/>
    <xf numFmtId="0" fontId="51" fillId="0" borderId="15" xfId="0" applyFont="1" applyBorder="1"/>
    <xf numFmtId="0" fontId="48" fillId="0" borderId="5" xfId="0" applyFont="1" applyBorder="1" applyAlignment="1">
      <alignment horizontal="center"/>
    </xf>
    <xf numFmtId="0" fontId="48" fillId="0" borderId="2" xfId="0" applyFont="1" applyBorder="1" applyAlignment="1">
      <alignment horizontal="center"/>
    </xf>
    <xf numFmtId="0" fontId="20" fillId="0" borderId="3" xfId="0" applyFont="1" applyBorder="1" applyAlignment="1">
      <alignment horizontal="right" vertical="center" wrapText="1"/>
    </xf>
    <xf numFmtId="0" fontId="20" fillId="0" borderId="8" xfId="0" applyFont="1" applyBorder="1" applyAlignment="1">
      <alignment horizontal="right" vertical="center" wrapText="1"/>
    </xf>
    <xf numFmtId="0" fontId="20" fillId="0" borderId="17" xfId="0" applyFont="1" applyBorder="1" applyAlignment="1">
      <alignment horizontal="right" vertical="center" wrapText="1"/>
    </xf>
    <xf numFmtId="0" fontId="35" fillId="13" borderId="0" xfId="0" applyFont="1" applyFill="1"/>
    <xf numFmtId="10" fontId="44" fillId="13" borderId="0" xfId="64" applyNumberFormat="1" applyFont="1" applyFill="1" applyAlignment="1">
      <alignment horizontal="center"/>
    </xf>
    <xf numFmtId="10" fontId="44" fillId="13" borderId="0" xfId="64" applyNumberFormat="1" applyFont="1" applyFill="1" applyAlignment="1">
      <alignment horizontal="left"/>
    </xf>
    <xf numFmtId="0" fontId="44" fillId="13" borderId="0" xfId="0" applyFont="1" applyFill="1"/>
    <xf numFmtId="10" fontId="44" fillId="9" borderId="0" xfId="64" applyNumberFormat="1" applyFont="1" applyFill="1" applyAlignment="1">
      <alignment horizontal="center"/>
    </xf>
    <xf numFmtId="10" fontId="44" fillId="9" borderId="0" xfId="64" applyNumberFormat="1" applyFont="1" applyFill="1" applyAlignment="1">
      <alignment horizontal="left"/>
    </xf>
    <xf numFmtId="0" fontId="44" fillId="9" borderId="0" xfId="0" applyFont="1" applyFill="1"/>
    <xf numFmtId="0" fontId="44" fillId="13" borderId="0" xfId="0" applyFont="1" applyFill="1" applyAlignment="1">
      <alignment horizontal="center"/>
    </xf>
    <xf numFmtId="10" fontId="44" fillId="18" borderId="0" xfId="64" applyNumberFormat="1" applyFont="1" applyFill="1" applyAlignment="1">
      <alignment horizontal="left"/>
    </xf>
    <xf numFmtId="10" fontId="44" fillId="14" borderId="0" xfId="64" applyNumberFormat="1" applyFont="1" applyFill="1" applyAlignment="1">
      <alignment horizontal="left"/>
    </xf>
    <xf numFmtId="0" fontId="52" fillId="0" borderId="4" xfId="0" applyFont="1" applyBorder="1"/>
    <xf numFmtId="167" fontId="57" fillId="0" borderId="0" xfId="0" applyNumberFormat="1" applyFont="1"/>
    <xf numFmtId="167" fontId="57" fillId="0" borderId="8" xfId="0" applyNumberFormat="1" applyFont="1" applyBorder="1"/>
    <xf numFmtId="167" fontId="57" fillId="0" borderId="5" xfId="0" applyNumberFormat="1" applyFont="1" applyBorder="1"/>
    <xf numFmtId="0" fontId="58" fillId="0" borderId="0" xfId="0" applyFont="1"/>
    <xf numFmtId="0" fontId="59" fillId="0" borderId="0" xfId="0" applyFont="1" applyAlignment="1">
      <alignment horizontal="centerContinuous"/>
    </xf>
    <xf numFmtId="0" fontId="59" fillId="0" borderId="0" xfId="0" applyFont="1"/>
    <xf numFmtId="0" fontId="15" fillId="19" borderId="0" xfId="50" quotePrefix="1" applyFill="1" applyAlignment="1">
      <alignment horizontal="left"/>
    </xf>
    <xf numFmtId="0" fontId="15" fillId="0" borderId="0" xfId="50" applyAlignment="1">
      <alignment horizontal="left"/>
    </xf>
    <xf numFmtId="0" fontId="15" fillId="20" borderId="0" xfId="50" applyFill="1" applyAlignment="1">
      <alignment horizontal="left"/>
    </xf>
    <xf numFmtId="0" fontId="61" fillId="0" borderId="0" xfId="50" applyFont="1" applyAlignment="1">
      <alignment horizontal="left"/>
    </xf>
    <xf numFmtId="0" fontId="15" fillId="15" borderId="0" xfId="50" applyFill="1" applyAlignment="1">
      <alignment horizontal="left"/>
    </xf>
    <xf numFmtId="0" fontId="15" fillId="21" borderId="0" xfId="50" applyFill="1" applyAlignment="1">
      <alignment horizontal="left"/>
    </xf>
    <xf numFmtId="0" fontId="15" fillId="16" borderId="0" xfId="50" applyFill="1" applyAlignment="1">
      <alignment horizontal="left"/>
    </xf>
    <xf numFmtId="0" fontId="62" fillId="13" borderId="0" xfId="50" quotePrefix="1" applyFont="1" applyFill="1" applyAlignment="1">
      <alignment horizontal="left"/>
    </xf>
    <xf numFmtId="4" fontId="15" fillId="0" borderId="0" xfId="50" applyNumberFormat="1" applyAlignment="1">
      <alignment horizontal="left"/>
    </xf>
    <xf numFmtId="4" fontId="15" fillId="20" borderId="0" xfId="50" applyNumberFormat="1" applyFill="1" applyAlignment="1">
      <alignment horizontal="left"/>
    </xf>
    <xf numFmtId="0" fontId="16" fillId="20" borderId="0" xfId="50" applyFont="1" applyFill="1" applyAlignment="1">
      <alignment horizontal="left" wrapText="1"/>
    </xf>
    <xf numFmtId="0" fontId="64" fillId="0" borderId="0" xfId="50" applyFont="1" applyAlignment="1">
      <alignment horizontal="left" wrapText="1"/>
    </xf>
    <xf numFmtId="0" fontId="16" fillId="0" borderId="0" xfId="50" applyFont="1" applyAlignment="1">
      <alignment horizontal="left" wrapText="1"/>
    </xf>
    <xf numFmtId="0" fontId="16" fillId="15" borderId="0" xfId="50" applyFont="1" applyFill="1" applyAlignment="1">
      <alignment horizontal="left" wrapText="1"/>
    </xf>
    <xf numFmtId="0" fontId="16" fillId="21" borderId="0" xfId="50" applyFont="1" applyFill="1" applyAlignment="1">
      <alignment horizontal="left" wrapText="1"/>
    </xf>
    <xf numFmtId="0" fontId="16" fillId="16" borderId="0" xfId="50" applyFont="1" applyFill="1" applyAlignment="1">
      <alignment horizontal="left" wrapText="1"/>
    </xf>
    <xf numFmtId="39" fontId="15" fillId="0" borderId="0" xfId="50" applyNumberFormat="1" applyAlignment="1">
      <alignment horizontal="left"/>
    </xf>
    <xf numFmtId="0" fontId="15" fillId="13" borderId="0" xfId="50" applyFill="1" applyAlignment="1">
      <alignment horizontal="left"/>
    </xf>
    <xf numFmtId="39" fontId="19" fillId="0" borderId="0" xfId="50" applyNumberFormat="1" applyFont="1" applyAlignment="1">
      <alignment horizontal="left"/>
    </xf>
    <xf numFmtId="0" fontId="15" fillId="22" borderId="0" xfId="50" applyFill="1" applyAlignment="1">
      <alignment horizontal="left"/>
    </xf>
    <xf numFmtId="0" fontId="15" fillId="19" borderId="0" xfId="50" applyFill="1" applyAlignment="1">
      <alignment horizontal="left"/>
    </xf>
    <xf numFmtId="39" fontId="19" fillId="13" borderId="0" xfId="50" applyNumberFormat="1" applyFont="1" applyFill="1" applyAlignment="1">
      <alignment horizontal="left"/>
    </xf>
    <xf numFmtId="39" fontId="19" fillId="16" borderId="0" xfId="50" applyNumberFormat="1" applyFont="1" applyFill="1" applyAlignment="1">
      <alignment horizontal="left"/>
    </xf>
    <xf numFmtId="39" fontId="15" fillId="11" borderId="0" xfId="50" applyNumberFormat="1" applyFill="1" applyAlignment="1">
      <alignment horizontal="left"/>
    </xf>
    <xf numFmtId="0" fontId="15" fillId="11" borderId="0" xfId="50" applyFill="1" applyAlignment="1">
      <alignment horizontal="left"/>
    </xf>
    <xf numFmtId="0" fontId="16" fillId="0" borderId="0" xfId="50" applyFont="1" applyAlignment="1">
      <alignment horizontal="left"/>
    </xf>
    <xf numFmtId="0" fontId="53" fillId="0" borderId="0" xfId="50" applyFont="1" applyAlignment="1">
      <alignment horizontal="left" wrapText="1"/>
    </xf>
    <xf numFmtId="0" fontId="15" fillId="0" borderId="0" xfId="50" applyAlignment="1">
      <alignment horizontal="left" vertical="top"/>
    </xf>
    <xf numFmtId="0" fontId="15" fillId="21" borderId="0" xfId="50" applyFill="1"/>
    <xf numFmtId="0" fontId="65" fillId="15" borderId="0" xfId="50" applyFont="1" applyFill="1" applyAlignment="1">
      <alignment horizontal="left"/>
    </xf>
    <xf numFmtId="43" fontId="65" fillId="15" borderId="0" xfId="29" applyFont="1" applyFill="1" applyAlignment="1">
      <alignment horizontal="left"/>
    </xf>
    <xf numFmtId="0" fontId="66" fillId="21" borderId="0" xfId="50" applyFont="1" applyFill="1" applyAlignment="1">
      <alignment horizontal="left"/>
    </xf>
    <xf numFmtId="0" fontId="66" fillId="15" borderId="0" xfId="50" applyFont="1" applyFill="1" applyAlignment="1">
      <alignment horizontal="left"/>
    </xf>
    <xf numFmtId="0" fontId="19" fillId="15" borderId="0" xfId="50" applyFont="1" applyFill="1" applyAlignment="1">
      <alignment horizontal="left"/>
    </xf>
    <xf numFmtId="43" fontId="19" fillId="15" borderId="0" xfId="29" applyFont="1" applyFill="1" applyAlignment="1">
      <alignment horizontal="left"/>
    </xf>
    <xf numFmtId="39" fontId="15" fillId="15" borderId="0" xfId="50" applyNumberFormat="1" applyFill="1" applyAlignment="1">
      <alignment horizontal="left"/>
    </xf>
    <xf numFmtId="0" fontId="16" fillId="20" borderId="0" xfId="50" applyFont="1" applyFill="1" applyAlignment="1">
      <alignment horizontal="right"/>
    </xf>
    <xf numFmtId="4" fontId="44" fillId="20" borderId="0" xfId="50" applyNumberFormat="1" applyFont="1" applyFill="1" applyAlignment="1">
      <alignment horizontal="right"/>
    </xf>
    <xf numFmtId="0" fontId="19" fillId="21" borderId="0" xfId="50" applyFont="1" applyFill="1" applyAlignment="1">
      <alignment horizontal="left"/>
    </xf>
    <xf numFmtId="4" fontId="51" fillId="20" borderId="0" xfId="50" applyNumberFormat="1" applyFont="1" applyFill="1" applyAlignment="1">
      <alignment horizontal="right"/>
    </xf>
    <xf numFmtId="0" fontId="19" fillId="0" borderId="0" xfId="50" applyFont="1" applyAlignment="1">
      <alignment horizontal="left"/>
    </xf>
    <xf numFmtId="4" fontId="44" fillId="22" borderId="0" xfId="50" applyNumberFormat="1" applyFont="1" applyFill="1" applyAlignment="1">
      <alignment horizontal="right"/>
    </xf>
    <xf numFmtId="0" fontId="15" fillId="15" borderId="0" xfId="50" applyFill="1" applyAlignment="1">
      <alignment horizontal="right"/>
    </xf>
    <xf numFmtId="0" fontId="11" fillId="20" borderId="0" xfId="50" applyFont="1" applyFill="1" applyAlignment="1">
      <alignment horizontal="left" wrapText="1"/>
    </xf>
    <xf numFmtId="4" fontId="67" fillId="0" borderId="0" xfId="45" applyNumberFormat="1" applyFont="1" applyAlignment="1">
      <alignment horizontal="left" wrapText="1"/>
    </xf>
    <xf numFmtId="0" fontId="63" fillId="0" borderId="0" xfId="40" applyFont="1" applyAlignment="1">
      <alignment horizontal="left" wrapText="1"/>
    </xf>
    <xf numFmtId="0" fontId="15" fillId="15" borderId="0" xfId="0" applyFont="1" applyFill="1"/>
    <xf numFmtId="0" fontId="94" fillId="0" borderId="0" xfId="48" applyAlignment="1">
      <alignment horizontal="left" wrapText="1"/>
    </xf>
    <xf numFmtId="4" fontId="63" fillId="0" borderId="0" xfId="48" applyNumberFormat="1" applyFont="1" applyAlignment="1">
      <alignment horizontal="left" wrapText="1"/>
    </xf>
    <xf numFmtId="0" fontId="94" fillId="0" borderId="0" xfId="49" applyAlignment="1">
      <alignment horizontal="left" wrapText="1"/>
    </xf>
    <xf numFmtId="0" fontId="0" fillId="15" borderId="0" xfId="0" applyFill="1" applyAlignment="1">
      <alignment horizontal="left"/>
    </xf>
    <xf numFmtId="0" fontId="15" fillId="15" borderId="0" xfId="0" applyFont="1" applyFill="1" applyAlignment="1">
      <alignment horizontal="left"/>
    </xf>
    <xf numFmtId="0" fontId="0" fillId="15" borderId="0" xfId="0" applyFill="1" applyAlignment="1">
      <alignment horizontal="right"/>
    </xf>
    <xf numFmtId="0" fontId="15" fillId="21" borderId="0" xfId="0" applyFont="1" applyFill="1" applyAlignment="1">
      <alignment horizontal="left"/>
    </xf>
    <xf numFmtId="0" fontId="0" fillId="21" borderId="0" xfId="0" applyFill="1" applyAlignment="1">
      <alignment horizontal="left"/>
    </xf>
    <xf numFmtId="167" fontId="70" fillId="0" borderId="0" xfId="0" applyNumberFormat="1" applyFont="1"/>
    <xf numFmtId="167" fontId="70" fillId="0" borderId="8" xfId="0" applyNumberFormat="1" applyFont="1" applyBorder="1"/>
    <xf numFmtId="167" fontId="70" fillId="0" borderId="7" xfId="0" applyNumberFormat="1" applyFont="1" applyBorder="1"/>
    <xf numFmtId="167" fontId="69" fillId="0" borderId="10" xfId="0" applyNumberFormat="1" applyFont="1" applyBorder="1"/>
    <xf numFmtId="3" fontId="69" fillId="0" borderId="7" xfId="0" quotePrefix="1" applyNumberFormat="1" applyFont="1" applyBorder="1" applyAlignment="1">
      <alignment horizontal="centerContinuous"/>
    </xf>
    <xf numFmtId="167" fontId="70" fillId="0" borderId="17" xfId="0" applyNumberFormat="1" applyFont="1" applyBorder="1"/>
    <xf numFmtId="3" fontId="48" fillId="0" borderId="7" xfId="0" applyNumberFormat="1" applyFont="1" applyBorder="1" applyAlignment="1">
      <alignment horizontal="center"/>
    </xf>
    <xf numFmtId="167" fontId="70" fillId="0" borderId="17" xfId="0" applyNumberFormat="1" applyFont="1" applyBorder="1" applyAlignment="1">
      <alignment vertical="top"/>
    </xf>
    <xf numFmtId="167" fontId="70" fillId="0" borderId="9" xfId="0" applyNumberFormat="1" applyFont="1" applyBorder="1"/>
    <xf numFmtId="167" fontId="71" fillId="0" borderId="7" xfId="0" applyNumberFormat="1" applyFont="1" applyBorder="1"/>
    <xf numFmtId="3" fontId="60" fillId="0" borderId="0" xfId="0" applyNumberFormat="1" applyFont="1"/>
    <xf numFmtId="165" fontId="15" fillId="0" borderId="0" xfId="28" applyNumberFormat="1" applyFont="1" applyAlignment="1">
      <alignment horizontal="center"/>
    </xf>
    <xf numFmtId="165" fontId="24" fillId="0" borderId="0" xfId="28" applyNumberFormat="1" applyFont="1" applyAlignment="1">
      <alignment horizontal="center"/>
    </xf>
    <xf numFmtId="0" fontId="24" fillId="0" borderId="0" xfId="0" applyFont="1" applyAlignment="1">
      <alignment horizontal="center" vertical="center" wrapText="1"/>
    </xf>
    <xf numFmtId="165" fontId="24" fillId="0" borderId="0" xfId="28" applyNumberFormat="1" applyFont="1" applyAlignment="1">
      <alignment horizontal="center" vertical="center" wrapText="1"/>
    </xf>
    <xf numFmtId="165" fontId="24" fillId="0" borderId="3" xfId="28" applyNumberFormat="1" applyFont="1" applyBorder="1"/>
    <xf numFmtId="165" fontId="24" fillId="0" borderId="8" xfId="28" applyNumberFormat="1" applyFont="1" applyBorder="1"/>
    <xf numFmtId="0" fontId="24" fillId="0" borderId="1" xfId="0" applyFont="1" applyBorder="1"/>
    <xf numFmtId="0" fontId="24" fillId="0" borderId="10" xfId="0" applyFont="1" applyBorder="1"/>
    <xf numFmtId="0" fontId="24" fillId="0" borderId="18" xfId="0" applyFont="1" applyBorder="1"/>
    <xf numFmtId="0" fontId="20" fillId="0" borderId="4"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9" xfId="0" applyFont="1" applyBorder="1" applyAlignment="1">
      <alignment horizontal="center" vertical="center" wrapText="1"/>
    </xf>
    <xf numFmtId="165" fontId="15" fillId="0" borderId="0" xfId="0" applyNumberFormat="1" applyFont="1"/>
    <xf numFmtId="0" fontId="20" fillId="0" borderId="0" xfId="0" applyFont="1" applyAlignment="1">
      <alignment horizontal="right" vertical="center" wrapText="1"/>
    </xf>
    <xf numFmtId="165" fontId="24" fillId="0" borderId="0" xfId="28" applyNumberFormat="1" applyFont="1" applyFill="1" applyBorder="1"/>
    <xf numFmtId="0" fontId="20" fillId="0" borderId="0" xfId="0" applyFont="1" applyAlignment="1">
      <alignment horizontal="center" vertical="center" wrapText="1"/>
    </xf>
    <xf numFmtId="41" fontId="15" fillId="0" borderId="0" xfId="0" applyNumberFormat="1" applyFont="1"/>
    <xf numFmtId="49" fontId="24" fillId="20" borderId="0" xfId="0" applyNumberFormat="1" applyFont="1" applyFill="1"/>
    <xf numFmtId="0" fontId="24" fillId="20" borderId="0" xfId="0" applyFont="1" applyFill="1"/>
    <xf numFmtId="10" fontId="24" fillId="20" borderId="0" xfId="64" applyNumberFormat="1" applyFont="1" applyFill="1"/>
    <xf numFmtId="165" fontId="24" fillId="20" borderId="3" xfId="28" applyNumberFormat="1" applyFont="1" applyFill="1" applyBorder="1"/>
    <xf numFmtId="165" fontId="24" fillId="20" borderId="8" xfId="28" applyNumberFormat="1" applyFont="1" applyFill="1" applyBorder="1"/>
    <xf numFmtId="0" fontId="15" fillId="20" borderId="0" xfId="0" applyFont="1" applyFill="1"/>
    <xf numFmtId="49" fontId="24" fillId="15" borderId="0" xfId="0" applyNumberFormat="1" applyFont="1" applyFill="1"/>
    <xf numFmtId="0" fontId="24" fillId="15" borderId="0" xfId="0" applyFont="1" applyFill="1"/>
    <xf numFmtId="10" fontId="24" fillId="15" borderId="0" xfId="64" applyNumberFormat="1" applyFont="1" applyFill="1"/>
    <xf numFmtId="165" fontId="24" fillId="15" borderId="3" xfId="28" applyNumberFormat="1" applyFont="1" applyFill="1" applyBorder="1"/>
    <xf numFmtId="165" fontId="24" fillId="15" borderId="8" xfId="28" applyNumberFormat="1" applyFont="1" applyFill="1" applyBorder="1"/>
    <xf numFmtId="165" fontId="24" fillId="15" borderId="7" xfId="28" applyNumberFormat="1" applyFont="1" applyFill="1" applyBorder="1"/>
    <xf numFmtId="165" fontId="24" fillId="13" borderId="3" xfId="28" applyNumberFormat="1" applyFont="1" applyFill="1" applyBorder="1"/>
    <xf numFmtId="49" fontId="24" fillId="21" borderId="0" xfId="0" applyNumberFormat="1" applyFont="1" applyFill="1"/>
    <xf numFmtId="0" fontId="24" fillId="21" borderId="0" xfId="0" applyFont="1" applyFill="1"/>
    <xf numFmtId="10" fontId="24" fillId="21" borderId="0" xfId="64" applyNumberFormat="1" applyFont="1" applyFill="1"/>
    <xf numFmtId="165" fontId="24" fillId="21" borderId="3" xfId="28" applyNumberFormat="1" applyFont="1" applyFill="1" applyBorder="1"/>
    <xf numFmtId="165" fontId="24" fillId="21" borderId="8" xfId="28" applyNumberFormat="1" applyFont="1" applyFill="1" applyBorder="1"/>
    <xf numFmtId="0" fontId="15" fillId="21" borderId="0" xfId="0" applyFont="1" applyFill="1"/>
    <xf numFmtId="49" fontId="24" fillId="16" borderId="0" xfId="0" applyNumberFormat="1" applyFont="1" applyFill="1"/>
    <xf numFmtId="0" fontId="24" fillId="16" borderId="0" xfId="0" applyFont="1" applyFill="1"/>
    <xf numFmtId="10" fontId="24" fillId="16" borderId="0" xfId="64" applyNumberFormat="1" applyFont="1" applyFill="1" applyAlignment="1">
      <alignment horizontal="right"/>
    </xf>
    <xf numFmtId="0" fontId="24" fillId="16" borderId="3" xfId="0" applyFont="1" applyFill="1" applyBorder="1" applyAlignment="1">
      <alignment horizontal="right" vertical="center" wrapText="1"/>
    </xf>
    <xf numFmtId="0" fontId="24" fillId="16" borderId="8" xfId="0" applyFont="1" applyFill="1" applyBorder="1" applyAlignment="1">
      <alignment horizontal="right" vertical="center" wrapText="1"/>
    </xf>
    <xf numFmtId="165" fontId="24" fillId="16" borderId="17" xfId="28" applyNumberFormat="1" applyFont="1" applyFill="1" applyBorder="1"/>
    <xf numFmtId="165" fontId="24" fillId="16" borderId="3" xfId="28" applyNumberFormat="1" applyFont="1" applyFill="1" applyBorder="1"/>
    <xf numFmtId="165" fontId="24" fillId="16" borderId="8" xfId="28" applyNumberFormat="1" applyFont="1" applyFill="1" applyBorder="1"/>
    <xf numFmtId="165" fontId="24" fillId="15" borderId="4" xfId="28" applyNumberFormat="1" applyFont="1" applyFill="1" applyBorder="1"/>
    <xf numFmtId="167" fontId="70" fillId="0" borderId="2" xfId="0" applyNumberFormat="1" applyFont="1" applyBorder="1"/>
    <xf numFmtId="167" fontId="70" fillId="0" borderId="5" xfId="0" applyNumberFormat="1" applyFont="1" applyBorder="1"/>
    <xf numFmtId="0" fontId="94" fillId="0" borderId="0" xfId="51"/>
    <xf numFmtId="0" fontId="68" fillId="0" borderId="0" xfId="51" applyFont="1"/>
    <xf numFmtId="0" fontId="68" fillId="0" borderId="9" xfId="51" applyFont="1" applyBorder="1" applyAlignment="1">
      <alignment wrapText="1"/>
    </xf>
    <xf numFmtId="0" fontId="68" fillId="0" borderId="10" xfId="51" applyFont="1" applyBorder="1" applyAlignment="1">
      <alignment horizontal="center" vertical="top" wrapText="1"/>
    </xf>
    <xf numFmtId="0" fontId="68" fillId="0" borderId="7" xfId="51" applyFont="1" applyBorder="1" applyAlignment="1">
      <alignment horizontal="center" vertical="top" wrapText="1"/>
    </xf>
    <xf numFmtId="0" fontId="68" fillId="0" borderId="7" xfId="51" applyFont="1" applyBorder="1" applyAlignment="1">
      <alignment vertical="top" wrapText="1"/>
    </xf>
    <xf numFmtId="0" fontId="94" fillId="0" borderId="19" xfId="51" applyBorder="1" applyAlignment="1">
      <alignment horizontal="left"/>
    </xf>
    <xf numFmtId="14" fontId="94" fillId="0" borderId="19" xfId="51" applyNumberFormat="1" applyBorder="1" applyAlignment="1">
      <alignment horizontal="left"/>
    </xf>
    <xf numFmtId="44" fontId="94" fillId="0" borderId="19" xfId="51" applyNumberFormat="1" applyBorder="1" applyAlignment="1">
      <alignment horizontal="left"/>
    </xf>
    <xf numFmtId="0" fontId="68" fillId="0" borderId="9" xfId="51" applyFont="1" applyBorder="1" applyAlignment="1">
      <alignment vertical="top" wrapText="1"/>
    </xf>
    <xf numFmtId="44" fontId="68" fillId="0" borderId="33" xfId="51" applyNumberFormat="1" applyFont="1" applyBorder="1" applyAlignment="1">
      <alignment horizontal="left"/>
    </xf>
    <xf numFmtId="0" fontId="94" fillId="0" borderId="10" xfId="51" applyBorder="1" applyAlignment="1">
      <alignment horizontal="left"/>
    </xf>
    <xf numFmtId="44" fontId="94" fillId="0" borderId="10" xfId="51" applyNumberFormat="1" applyBorder="1" applyAlignment="1">
      <alignment horizontal="left"/>
    </xf>
    <xf numFmtId="14" fontId="94" fillId="0" borderId="10" xfId="51" applyNumberFormat="1" applyBorder="1" applyAlignment="1">
      <alignment horizontal="left"/>
    </xf>
    <xf numFmtId="0" fontId="94" fillId="0" borderId="7" xfId="51" applyBorder="1" applyAlignment="1">
      <alignment horizontal="left"/>
    </xf>
    <xf numFmtId="44" fontId="94" fillId="0" borderId="7" xfId="51" applyNumberFormat="1" applyBorder="1" applyAlignment="1">
      <alignment horizontal="left"/>
    </xf>
    <xf numFmtId="14" fontId="94" fillId="0" borderId="7" xfId="51" applyNumberFormat="1" applyBorder="1" applyAlignment="1">
      <alignment horizontal="left"/>
    </xf>
    <xf numFmtId="0" fontId="94" fillId="0" borderId="1" xfId="51" applyBorder="1" applyAlignment="1">
      <alignment horizontal="left"/>
    </xf>
    <xf numFmtId="0" fontId="94" fillId="0" borderId="2" xfId="51" applyBorder="1" applyAlignment="1">
      <alignment horizontal="left"/>
    </xf>
    <xf numFmtId="0" fontId="94" fillId="0" borderId="4" xfId="51" applyBorder="1" applyAlignment="1">
      <alignment horizontal="left"/>
    </xf>
    <xf numFmtId="0" fontId="94" fillId="0" borderId="5" xfId="51" applyBorder="1" applyAlignment="1">
      <alignment horizontal="left"/>
    </xf>
    <xf numFmtId="0" fontId="94" fillId="0" borderId="20" xfId="51" applyBorder="1" applyAlignment="1">
      <alignment horizontal="left"/>
    </xf>
    <xf numFmtId="0" fontId="94" fillId="0" borderId="15" xfId="51" applyBorder="1" applyAlignment="1">
      <alignment horizontal="left"/>
    </xf>
    <xf numFmtId="0" fontId="94" fillId="0" borderId="21" xfId="51" applyBorder="1" applyAlignment="1">
      <alignment horizontal="left"/>
    </xf>
    <xf numFmtId="0" fontId="75" fillId="0" borderId="0" xfId="0" applyFont="1"/>
    <xf numFmtId="44" fontId="75" fillId="0" borderId="0" xfId="0" applyNumberFormat="1" applyFont="1" applyAlignment="1">
      <alignment horizontal="left"/>
    </xf>
    <xf numFmtId="0" fontId="76" fillId="0" borderId="0" xfId="0" applyFont="1" applyAlignment="1">
      <alignment vertical="top"/>
    </xf>
    <xf numFmtId="0" fontId="76" fillId="0" borderId="0" xfId="0" applyFont="1" applyAlignment="1">
      <alignment horizontal="right" vertical="top"/>
    </xf>
    <xf numFmtId="0" fontId="77" fillId="0" borderId="0" xfId="0" applyFont="1"/>
    <xf numFmtId="44" fontId="78" fillId="0" borderId="0" xfId="51" applyNumberFormat="1" applyFont="1"/>
    <xf numFmtId="167" fontId="75" fillId="0" borderId="0" xfId="0" applyNumberFormat="1" applyFont="1" applyAlignment="1">
      <alignment horizontal="right"/>
    </xf>
    <xf numFmtId="44" fontId="75" fillId="0" borderId="0" xfId="0" applyNumberFormat="1" applyFont="1"/>
    <xf numFmtId="0" fontId="76" fillId="0" borderId="0" xfId="0" applyFont="1" applyAlignment="1">
      <alignment vertical="top" wrapText="1"/>
    </xf>
    <xf numFmtId="0" fontId="75" fillId="20" borderId="0" xfId="0" applyFont="1" applyFill="1"/>
    <xf numFmtId="44" fontId="75" fillId="20" borderId="0" xfId="0" applyNumberFormat="1" applyFont="1" applyFill="1"/>
    <xf numFmtId="44" fontId="75" fillId="20" borderId="0" xfId="0" applyNumberFormat="1" applyFont="1" applyFill="1" applyAlignment="1">
      <alignment horizontal="right"/>
    </xf>
    <xf numFmtId="0" fontId="1" fillId="0" borderId="19" xfId="51" applyFont="1" applyBorder="1" applyAlignment="1">
      <alignment horizontal="left"/>
    </xf>
    <xf numFmtId="0" fontId="5" fillId="0" borderId="0" xfId="0" applyFont="1" applyAlignment="1">
      <alignment horizontal="center" vertical="center" wrapText="1"/>
    </xf>
    <xf numFmtId="0" fontId="5" fillId="0" borderId="0" xfId="0" applyFont="1" applyAlignment="1">
      <alignment vertical="center"/>
    </xf>
    <xf numFmtId="0" fontId="22" fillId="0" borderId="0" xfId="0" applyFont="1" applyAlignment="1">
      <alignment horizontal="center" vertical="center" wrapText="1"/>
    </xf>
    <xf numFmtId="0" fontId="10" fillId="0" borderId="0" xfId="0" applyFont="1" applyAlignment="1">
      <alignment vertical="top"/>
    </xf>
    <xf numFmtId="0" fontId="22" fillId="0" borderId="0" xfId="0" applyFont="1" applyAlignment="1">
      <alignment horizontal="left" vertical="top" wrapText="1"/>
    </xf>
    <xf numFmtId="44" fontId="10" fillId="0" borderId="0" xfId="0" applyNumberFormat="1" applyFont="1"/>
    <xf numFmtId="44" fontId="10" fillId="0" borderId="0" xfId="0" applyNumberFormat="1" applyFont="1" applyAlignment="1">
      <alignment horizontal="center" vertical="top" wrapText="1"/>
    </xf>
    <xf numFmtId="0" fontId="5" fillId="0" borderId="0" xfId="0" applyFont="1" applyAlignment="1">
      <alignment horizontal="left" wrapText="1"/>
    </xf>
    <xf numFmtId="44" fontId="5" fillId="0" borderId="0" xfId="0" applyNumberFormat="1" applyFont="1" applyAlignment="1">
      <alignment vertical="top"/>
    </xf>
    <xf numFmtId="0" fontId="81" fillId="0" borderId="0" xfId="0" applyFont="1"/>
    <xf numFmtId="3" fontId="0" fillId="0" borderId="0" xfId="0" applyNumberFormat="1"/>
    <xf numFmtId="0" fontId="21" fillId="0" borderId="0" xfId="0" applyFont="1" applyAlignment="1">
      <alignment horizontal="center" wrapText="1"/>
    </xf>
    <xf numFmtId="0" fontId="8" fillId="0" borderId="0" xfId="0" applyFont="1" applyAlignment="1">
      <alignment horizontal="left"/>
    </xf>
    <xf numFmtId="0" fontId="0" fillId="0" borderId="0" xfId="0" applyAlignment="1">
      <alignment horizontal="left"/>
    </xf>
    <xf numFmtId="3" fontId="73" fillId="0" borderId="0" xfId="0" applyNumberFormat="1" applyFont="1"/>
    <xf numFmtId="0" fontId="51" fillId="0" borderId="23" xfId="0" applyFont="1" applyBorder="1"/>
    <xf numFmtId="0" fontId="44" fillId="0" borderId="24" xfId="0" applyFont="1" applyBorder="1"/>
    <xf numFmtId="0" fontId="44" fillId="0" borderId="22" xfId="0" applyFont="1" applyBorder="1"/>
    <xf numFmtId="0" fontId="44" fillId="0" borderId="30" xfId="0" applyFont="1" applyBorder="1"/>
    <xf numFmtId="0" fontId="51" fillId="0" borderId="22" xfId="0" applyFont="1" applyBorder="1"/>
    <xf numFmtId="0" fontId="51" fillId="0" borderId="30" xfId="0" applyFont="1" applyBorder="1"/>
    <xf numFmtId="0" fontId="44" fillId="0" borderId="26" xfId="0" applyFont="1" applyBorder="1"/>
    <xf numFmtId="0" fontId="44" fillId="0" borderId="27" xfId="0" applyFont="1" applyBorder="1"/>
    <xf numFmtId="0" fontId="84" fillId="0" borderId="4" xfId="0" applyFont="1" applyBorder="1" applyAlignment="1">
      <alignment vertical="top" wrapText="1"/>
    </xf>
    <xf numFmtId="0" fontId="84" fillId="0" borderId="9" xfId="0" applyFont="1" applyBorder="1" applyAlignment="1">
      <alignment vertical="top" wrapText="1"/>
    </xf>
    <xf numFmtId="0" fontId="80" fillId="0" borderId="1" xfId="0" applyFont="1" applyBorder="1" applyAlignment="1">
      <alignment horizontal="left" vertical="top" wrapText="1"/>
    </xf>
    <xf numFmtId="0" fontId="80" fillId="0" borderId="10" xfId="0" applyFont="1" applyBorder="1" applyAlignment="1">
      <alignment horizontal="left" vertical="top" wrapText="1"/>
    </xf>
    <xf numFmtId="0" fontId="85" fillId="0" borderId="3" xfId="0" applyFont="1" applyBorder="1" applyAlignment="1">
      <alignment wrapText="1"/>
    </xf>
    <xf numFmtId="0" fontId="84" fillId="0" borderId="17" xfId="0" applyFont="1" applyBorder="1" applyAlignment="1">
      <alignment horizontal="left" vertical="top" wrapText="1"/>
    </xf>
    <xf numFmtId="0" fontId="80" fillId="0" borderId="3" xfId="0" applyFont="1" applyBorder="1" applyAlignment="1">
      <alignment horizontal="left" vertical="top" wrapText="1"/>
    </xf>
    <xf numFmtId="0" fontId="80" fillId="0" borderId="8" xfId="0" applyFont="1" applyBorder="1" applyAlignment="1">
      <alignment horizontal="left" vertical="top" wrapText="1"/>
    </xf>
    <xf numFmtId="0" fontId="85" fillId="0" borderId="3" xfId="0" applyFont="1" applyBorder="1"/>
    <xf numFmtId="0" fontId="86" fillId="0" borderId="17" xfId="51" applyFont="1" applyBorder="1" applyAlignment="1">
      <alignment horizontal="left"/>
    </xf>
    <xf numFmtId="42" fontId="85" fillId="0" borderId="8" xfId="0" applyNumberFormat="1" applyFont="1" applyBorder="1" applyAlignment="1">
      <alignment horizontal="center" vertical="top" wrapText="1"/>
    </xf>
    <xf numFmtId="0" fontId="85" fillId="0" borderId="8" xfId="0" applyFont="1" applyBorder="1"/>
    <xf numFmtId="42" fontId="85" fillId="0" borderId="8" xfId="0" applyNumberFormat="1" applyFont="1" applyBorder="1" applyAlignment="1">
      <alignment vertical="top"/>
    </xf>
    <xf numFmtId="42" fontId="85" fillId="0" borderId="17" xfId="0" applyNumberFormat="1" applyFont="1" applyBorder="1" applyAlignment="1">
      <alignment horizontal="center" vertical="top" wrapText="1"/>
    </xf>
    <xf numFmtId="0" fontId="87" fillId="0" borderId="34" xfId="51" applyFont="1" applyBorder="1" applyAlignment="1">
      <alignment horizontal="left"/>
    </xf>
    <xf numFmtId="0" fontId="87" fillId="0" borderId="16" xfId="51" applyFont="1" applyBorder="1" applyAlignment="1">
      <alignment horizontal="left"/>
    </xf>
    <xf numFmtId="0" fontId="85" fillId="0" borderId="35" xfId="0" applyFont="1" applyBorder="1"/>
    <xf numFmtId="42" fontId="80" fillId="0" borderId="36" xfId="0" applyNumberFormat="1" applyFont="1" applyBorder="1"/>
    <xf numFmtId="42" fontId="85" fillId="0" borderId="8" xfId="0" applyNumberFormat="1" applyFont="1" applyBorder="1"/>
    <xf numFmtId="42" fontId="85" fillId="0" borderId="17" xfId="0" applyNumberFormat="1" applyFont="1" applyBorder="1"/>
    <xf numFmtId="42" fontId="86" fillId="0" borderId="8" xfId="51" applyNumberFormat="1" applyFont="1" applyBorder="1" applyAlignment="1">
      <alignment horizontal="left"/>
    </xf>
    <xf numFmtId="0" fontId="85" fillId="0" borderId="17" xfId="0" applyFont="1" applyBorder="1"/>
    <xf numFmtId="0" fontId="85" fillId="0" borderId="0" xfId="0" applyFont="1"/>
    <xf numFmtId="42" fontId="85" fillId="0" borderId="0" xfId="0" applyNumberFormat="1" applyFont="1"/>
    <xf numFmtId="42" fontId="80" fillId="0" borderId="37" xfId="0" applyNumberFormat="1" applyFont="1" applyBorder="1" applyAlignment="1">
      <alignment vertical="center"/>
    </xf>
    <xf numFmtId="0" fontId="88" fillId="0" borderId="0" xfId="0" applyFont="1"/>
    <xf numFmtId="0" fontId="80" fillId="0" borderId="7" xfId="0" applyFont="1" applyBorder="1" applyAlignment="1">
      <alignment vertical="top" wrapText="1"/>
    </xf>
    <xf numFmtId="0" fontId="80" fillId="0" borderId="10" xfId="0" applyFont="1" applyBorder="1" applyAlignment="1">
      <alignment vertical="center" wrapText="1"/>
    </xf>
    <xf numFmtId="0" fontId="80" fillId="0" borderId="0" xfId="0" applyFont="1" applyAlignment="1">
      <alignment horizontal="left" vertical="top" wrapText="1"/>
    </xf>
    <xf numFmtId="0" fontId="80" fillId="0" borderId="0" xfId="0" applyFont="1" applyAlignment="1">
      <alignment vertical="top" wrapText="1"/>
    </xf>
    <xf numFmtId="0" fontId="85" fillId="0" borderId="0" xfId="0" applyFont="1" applyAlignment="1">
      <alignment vertical="top"/>
    </xf>
    <xf numFmtId="0" fontId="80" fillId="0" borderId="10" xfId="0" applyFont="1" applyBorder="1" applyAlignment="1">
      <alignment horizontal="center" vertical="top" wrapText="1"/>
    </xf>
    <xf numFmtId="42" fontId="85" fillId="0" borderId="7" xfId="0" applyNumberFormat="1" applyFont="1" applyBorder="1" applyAlignment="1">
      <alignment vertical="top"/>
    </xf>
    <xf numFmtId="0" fontId="80" fillId="0" borderId="10" xfId="0" applyFont="1" applyBorder="1" applyAlignment="1">
      <alignment horizontal="right" vertical="top" wrapText="1"/>
    </xf>
    <xf numFmtId="42" fontId="85" fillId="0" borderId="7" xfId="0" applyNumberFormat="1" applyFont="1" applyBorder="1" applyAlignment="1">
      <alignment horizontal="center" vertical="top" wrapText="1"/>
    </xf>
    <xf numFmtId="0" fontId="84" fillId="0" borderId="1" xfId="0" applyFont="1" applyBorder="1" applyAlignment="1">
      <alignment vertical="top" wrapText="1"/>
    </xf>
    <xf numFmtId="0" fontId="84" fillId="0" borderId="18" xfId="0" applyFont="1" applyBorder="1" applyAlignment="1">
      <alignment vertical="top" wrapText="1"/>
    </xf>
    <xf numFmtId="0" fontId="85" fillId="0" borderId="4" xfId="0" applyFont="1" applyBorder="1"/>
    <xf numFmtId="0" fontId="86" fillId="0" borderId="9" xfId="51" applyFont="1" applyBorder="1" applyAlignment="1">
      <alignment horizontal="left"/>
    </xf>
    <xf numFmtId="0" fontId="82" fillId="0" borderId="0" xfId="0" applyFont="1" applyAlignment="1">
      <alignment horizontal="left" vertical="top" wrapText="1"/>
    </xf>
    <xf numFmtId="44" fontId="79" fillId="0" borderId="0" xfId="0" applyNumberFormat="1" applyFont="1" applyAlignment="1">
      <alignment vertical="top"/>
    </xf>
    <xf numFmtId="0" fontId="80" fillId="0" borderId="7" xfId="0" applyFont="1" applyBorder="1" applyAlignment="1">
      <alignment vertical="top"/>
    </xf>
    <xf numFmtId="0" fontId="80" fillId="0" borderId="10" xfId="0" applyFont="1" applyBorder="1" applyAlignment="1">
      <alignment horizontal="center" vertical="center"/>
    </xf>
    <xf numFmtId="0" fontId="4" fillId="0" borderId="0" xfId="0" quotePrefix="1" applyFont="1"/>
    <xf numFmtId="16" fontId="4" fillId="0" borderId="0" xfId="0" quotePrefix="1" applyNumberFormat="1" applyFont="1" applyAlignment="1">
      <alignment horizontal="right"/>
    </xf>
    <xf numFmtId="0" fontId="21" fillId="0" borderId="0" xfId="0" applyFont="1" applyAlignment="1">
      <alignment horizontal="right"/>
    </xf>
    <xf numFmtId="173" fontId="4" fillId="0" borderId="0" xfId="0" applyNumberFormat="1" applyFont="1"/>
    <xf numFmtId="0" fontId="21" fillId="0" borderId="0" xfId="0" applyFont="1"/>
    <xf numFmtId="0" fontId="21" fillId="0" borderId="0" xfId="0" applyFont="1" applyAlignment="1">
      <alignment vertical="center"/>
    </xf>
    <xf numFmtId="173" fontId="4" fillId="0" borderId="5" xfId="0" applyNumberFormat="1" applyFont="1" applyBorder="1"/>
    <xf numFmtId="173" fontId="4" fillId="0" borderId="2" xfId="0" applyNumberFormat="1" applyFont="1" applyBorder="1"/>
    <xf numFmtId="3" fontId="4" fillId="0" borderId="0" xfId="0" applyNumberFormat="1" applyFont="1"/>
    <xf numFmtId="0" fontId="4" fillId="0" borderId="0" xfId="0" applyFont="1" applyAlignment="1">
      <alignment horizontal="right"/>
    </xf>
    <xf numFmtId="0" fontId="35" fillId="14" borderId="3" xfId="0" applyFont="1" applyFill="1" applyBorder="1"/>
    <xf numFmtId="0" fontId="35" fillId="14" borderId="0" xfId="0" applyFont="1" applyFill="1"/>
    <xf numFmtId="167" fontId="70" fillId="14" borderId="8" xfId="0" applyNumberFormat="1" applyFont="1" applyFill="1" applyBorder="1"/>
    <xf numFmtId="167" fontId="35" fillId="14" borderId="8" xfId="0" applyNumberFormat="1" applyFont="1" applyFill="1" applyBorder="1"/>
    <xf numFmtId="167" fontId="70" fillId="0" borderId="8" xfId="0" applyNumberFormat="1" applyFont="1" applyBorder="1" applyAlignment="1">
      <alignment vertical="top"/>
    </xf>
    <xf numFmtId="0" fontId="48" fillId="0" borderId="3" xfId="0" applyFont="1" applyBorder="1" applyAlignment="1">
      <alignment horizontal="centerContinuous"/>
    </xf>
    <xf numFmtId="167" fontId="57" fillId="0" borderId="2" xfId="0" applyNumberFormat="1" applyFont="1" applyBorder="1"/>
    <xf numFmtId="42" fontId="86" fillId="0" borderId="17" xfId="51" applyNumberFormat="1" applyFont="1" applyBorder="1" applyAlignment="1">
      <alignment horizontal="left"/>
    </xf>
    <xf numFmtId="42" fontId="85" fillId="0" borderId="17" xfId="0" applyNumberFormat="1" applyFont="1" applyBorder="1" applyAlignment="1">
      <alignment vertical="top"/>
    </xf>
    <xf numFmtId="42" fontId="85" fillId="0" borderId="5" xfId="0" applyNumberFormat="1" applyFont="1" applyBorder="1"/>
    <xf numFmtId="0" fontId="80" fillId="0" borderId="0" xfId="0" applyFont="1" applyAlignment="1">
      <alignment horizontal="left" vertical="center" wrapText="1"/>
    </xf>
    <xf numFmtId="42" fontId="80" fillId="0" borderId="0" xfId="0" applyNumberFormat="1" applyFont="1" applyAlignment="1">
      <alignment vertical="center"/>
    </xf>
    <xf numFmtId="42" fontId="85" fillId="0" borderId="38" xfId="0" applyNumberFormat="1" applyFont="1" applyBorder="1"/>
    <xf numFmtId="44" fontId="85" fillId="0" borderId="0" xfId="0" applyNumberFormat="1" applyFont="1" applyAlignment="1">
      <alignment horizontal="center" vertical="top" wrapText="1"/>
    </xf>
    <xf numFmtId="0" fontId="22" fillId="0" borderId="0" xfId="0" applyFont="1" applyAlignment="1">
      <alignment horizontal="left" vertical="center" wrapText="1"/>
    </xf>
    <xf numFmtId="0" fontId="5" fillId="0" borderId="0" xfId="0" applyFont="1" applyAlignment="1">
      <alignment horizontal="left" vertical="center" wrapText="1"/>
    </xf>
    <xf numFmtId="0" fontId="85" fillId="0" borderId="0" xfId="0" applyFont="1" applyAlignment="1">
      <alignment horizontal="left" wrapText="1"/>
    </xf>
    <xf numFmtId="0" fontId="85" fillId="0" borderId="0" xfId="0" applyFont="1" applyAlignment="1">
      <alignment horizontal="left"/>
    </xf>
    <xf numFmtId="44" fontId="85" fillId="0" borderId="0" xfId="0" applyNumberFormat="1" applyFont="1" applyAlignment="1">
      <alignment horizontal="left" vertical="top" wrapText="1"/>
    </xf>
    <xf numFmtId="0" fontId="85" fillId="0" borderId="0" xfId="0" applyFont="1" applyAlignment="1">
      <alignment vertical="top" wrapText="1"/>
    </xf>
    <xf numFmtId="0" fontId="7" fillId="0" borderId="0" xfId="0" applyFont="1" applyAlignment="1">
      <alignment vertical="top" wrapText="1"/>
    </xf>
    <xf numFmtId="42" fontId="88" fillId="0" borderId="0" xfId="0" applyNumberFormat="1" applyFont="1" applyAlignment="1">
      <alignment vertical="top" wrapText="1"/>
    </xf>
    <xf numFmtId="42" fontId="88" fillId="0" borderId="0" xfId="0" applyNumberFormat="1" applyFont="1" applyAlignment="1">
      <alignment horizontal="left"/>
    </xf>
    <xf numFmtId="0" fontId="85" fillId="0" borderId="0" xfId="0" applyFont="1" applyAlignment="1">
      <alignment horizontal="left" vertical="center"/>
    </xf>
    <xf numFmtId="42" fontId="88" fillId="0" borderId="0" xfId="0" applyNumberFormat="1" applyFont="1" applyAlignment="1">
      <alignment vertical="center" wrapText="1"/>
    </xf>
    <xf numFmtId="42" fontId="83" fillId="0" borderId="0" xfId="0" applyNumberFormat="1" applyFont="1" applyAlignment="1">
      <alignment horizontal="left"/>
    </xf>
    <xf numFmtId="0" fontId="79" fillId="0" borderId="0" xfId="0" applyFont="1" applyAlignment="1">
      <alignment vertical="center"/>
    </xf>
    <xf numFmtId="6" fontId="85" fillId="0" borderId="8" xfId="0" applyNumberFormat="1" applyFont="1" applyBorder="1" applyAlignment="1">
      <alignment vertical="top"/>
    </xf>
    <xf numFmtId="42" fontId="88" fillId="0" borderId="0" xfId="0" applyNumberFormat="1" applyFont="1"/>
    <xf numFmtId="0" fontId="89" fillId="0" borderId="0" xfId="0" applyFont="1"/>
    <xf numFmtId="0" fontId="89" fillId="0" borderId="0" xfId="0" applyFont="1" applyAlignment="1">
      <alignment horizontal="right"/>
    </xf>
    <xf numFmtId="173" fontId="10" fillId="0" borderId="0" xfId="0" applyNumberFormat="1" applyFont="1"/>
    <xf numFmtId="173" fontId="10" fillId="0" borderId="5" xfId="0" applyNumberFormat="1" applyFont="1" applyBorder="1"/>
    <xf numFmtId="173" fontId="10" fillId="0" borderId="16" xfId="0" applyNumberFormat="1" applyFont="1" applyBorder="1"/>
    <xf numFmtId="167" fontId="90" fillId="0" borderId="8" xfId="0" applyNumberFormat="1" applyFont="1" applyBorder="1"/>
    <xf numFmtId="0" fontId="35" fillId="14" borderId="2" xfId="0" applyFont="1" applyFill="1" applyBorder="1"/>
    <xf numFmtId="0" fontId="48" fillId="14" borderId="1" xfId="0" applyFont="1" applyFill="1" applyBorder="1"/>
    <xf numFmtId="0" fontId="35" fillId="14" borderId="4" xfId="0" applyFont="1" applyFill="1" applyBorder="1"/>
    <xf numFmtId="0" fontId="35" fillId="14" borderId="5" xfId="0" applyFont="1" applyFill="1" applyBorder="1"/>
    <xf numFmtId="167" fontId="70" fillId="14" borderId="7" xfId="0" applyNumberFormat="1" applyFont="1" applyFill="1" applyBorder="1"/>
    <xf numFmtId="167" fontId="35" fillId="14" borderId="7" xfId="0" applyNumberFormat="1" applyFont="1" applyFill="1" applyBorder="1"/>
    <xf numFmtId="0" fontId="48" fillId="14" borderId="3" xfId="0" applyFont="1" applyFill="1" applyBorder="1"/>
    <xf numFmtId="0" fontId="48" fillId="14" borderId="4" xfId="0" applyFont="1" applyFill="1" applyBorder="1"/>
    <xf numFmtId="167" fontId="35" fillId="14" borderId="0" xfId="0" applyNumberFormat="1" applyFont="1" applyFill="1"/>
    <xf numFmtId="167" fontId="70" fillId="14" borderId="5" xfId="0" applyNumberFormat="1" applyFont="1" applyFill="1" applyBorder="1"/>
    <xf numFmtId="0" fontId="35" fillId="23" borderId="3" xfId="0" applyFont="1" applyFill="1" applyBorder="1"/>
    <xf numFmtId="0" fontId="35" fillId="23" borderId="0" xfId="0" applyFont="1" applyFill="1"/>
    <xf numFmtId="167" fontId="70" fillId="23" borderId="8" xfId="0" applyNumberFormat="1" applyFont="1" applyFill="1" applyBorder="1"/>
    <xf numFmtId="167" fontId="35" fillId="23" borderId="8" xfId="0" applyNumberFormat="1" applyFont="1" applyFill="1" applyBorder="1"/>
    <xf numFmtId="167" fontId="57" fillId="23" borderId="8" xfId="0" applyNumberFormat="1" applyFont="1" applyFill="1" applyBorder="1"/>
    <xf numFmtId="167" fontId="72" fillId="23" borderId="8" xfId="0" applyNumberFormat="1" applyFont="1" applyFill="1" applyBorder="1"/>
    <xf numFmtId="167" fontId="91" fillId="23" borderId="8" xfId="0" applyNumberFormat="1" applyFont="1" applyFill="1" applyBorder="1"/>
    <xf numFmtId="0" fontId="48" fillId="14" borderId="2" xfId="0" applyFont="1" applyFill="1" applyBorder="1"/>
    <xf numFmtId="166" fontId="48" fillId="14" borderId="10" xfId="0" quotePrefix="1" applyNumberFormat="1" applyFont="1" applyFill="1" applyBorder="1" applyAlignment="1">
      <alignment horizontal="center"/>
    </xf>
    <xf numFmtId="0" fontId="48" fillId="14" borderId="4" xfId="0" applyFont="1" applyFill="1" applyBorder="1" applyAlignment="1">
      <alignment horizontal="centerContinuous"/>
    </xf>
    <xf numFmtId="0" fontId="48" fillId="14" borderId="5" xfId="0" applyFont="1" applyFill="1" applyBorder="1" applyAlignment="1">
      <alignment horizontal="centerContinuous"/>
    </xf>
    <xf numFmtId="166" fontId="48" fillId="14" borderId="4" xfId="0" applyNumberFormat="1" applyFont="1" applyFill="1" applyBorder="1" applyAlignment="1">
      <alignment horizontal="center"/>
    </xf>
    <xf numFmtId="3" fontId="69" fillId="14" borderId="7" xfId="0" quotePrefix="1" applyNumberFormat="1" applyFont="1" applyFill="1" applyBorder="1" applyAlignment="1">
      <alignment horizontal="centerContinuous"/>
    </xf>
    <xf numFmtId="166" fontId="48" fillId="14" borderId="7" xfId="0" applyNumberFormat="1" applyFont="1" applyFill="1" applyBorder="1" applyAlignment="1">
      <alignment horizontal="centerContinuous"/>
    </xf>
    <xf numFmtId="166" fontId="48" fillId="14" borderId="7" xfId="0" applyNumberFormat="1" applyFont="1" applyFill="1" applyBorder="1" applyAlignment="1">
      <alignment horizontal="center"/>
    </xf>
    <xf numFmtId="167" fontId="70" fillId="23" borderId="17" xfId="0" applyNumberFormat="1" applyFont="1" applyFill="1" applyBorder="1"/>
    <xf numFmtId="0" fontId="35" fillId="23" borderId="17" xfId="0" applyFont="1" applyFill="1" applyBorder="1"/>
    <xf numFmtId="10" fontId="44" fillId="23" borderId="0" xfId="64" applyNumberFormat="1" applyFont="1" applyFill="1" applyAlignment="1">
      <alignment horizontal="center"/>
    </xf>
    <xf numFmtId="0" fontId="44" fillId="23" borderId="0" xfId="0" applyFont="1" applyFill="1" applyAlignment="1">
      <alignment horizontal="center"/>
    </xf>
    <xf numFmtId="0" fontId="44" fillId="23" borderId="0" xfId="0" applyFont="1" applyFill="1"/>
    <xf numFmtId="0" fontId="52" fillId="23" borderId="3" xfId="0" applyFont="1" applyFill="1" applyBorder="1"/>
    <xf numFmtId="167" fontId="57" fillId="23" borderId="17" xfId="0" applyNumberFormat="1" applyFont="1" applyFill="1" applyBorder="1"/>
    <xf numFmtId="167" fontId="90" fillId="23" borderId="8" xfId="0" applyNumberFormat="1" applyFont="1" applyFill="1" applyBorder="1"/>
    <xf numFmtId="167" fontId="90" fillId="0" borderId="17" xfId="0" applyNumberFormat="1" applyFont="1" applyBorder="1"/>
    <xf numFmtId="167" fontId="90" fillId="23" borderId="17" xfId="0" applyNumberFormat="1" applyFont="1" applyFill="1" applyBorder="1"/>
    <xf numFmtId="167" fontId="7" fillId="0" borderId="17" xfId="0" applyNumberFormat="1" applyFont="1" applyBorder="1"/>
    <xf numFmtId="167" fontId="90" fillId="0" borderId="8" xfId="0" applyNumberFormat="1" applyFont="1" applyBorder="1" applyAlignment="1">
      <alignment vertical="top"/>
    </xf>
    <xf numFmtId="9" fontId="49" fillId="0" borderId="0" xfId="0" applyNumberFormat="1" applyFont="1" applyAlignment="1">
      <alignment horizontal="center"/>
    </xf>
    <xf numFmtId="167" fontId="7" fillId="0" borderId="17" xfId="0" applyNumberFormat="1" applyFont="1" applyBorder="1" applyAlignment="1">
      <alignment vertical="top"/>
    </xf>
    <xf numFmtId="167" fontId="7" fillId="0" borderId="8" xfId="0" applyNumberFormat="1" applyFont="1" applyBorder="1" applyAlignment="1">
      <alignment vertical="top"/>
    </xf>
    <xf numFmtId="167" fontId="92" fillId="23" borderId="8" xfId="0" applyNumberFormat="1" applyFont="1" applyFill="1" applyBorder="1"/>
    <xf numFmtId="165" fontId="111" fillId="0" borderId="0" xfId="28" applyNumberFormat="1" applyFont="1"/>
    <xf numFmtId="0" fontId="112" fillId="0" borderId="0" xfId="0" applyFont="1" applyAlignment="1">
      <alignment horizontal="center"/>
    </xf>
    <xf numFmtId="0" fontId="112" fillId="0" borderId="0" xfId="0" applyFont="1"/>
    <xf numFmtId="0" fontId="115" fillId="47" borderId="0" xfId="0" applyFont="1" applyFill="1"/>
    <xf numFmtId="167" fontId="115" fillId="47" borderId="0" xfId="28" applyNumberFormat="1" applyFont="1" applyFill="1" applyBorder="1" applyAlignment="1">
      <alignment vertical="top"/>
    </xf>
    <xf numFmtId="167" fontId="115" fillId="47" borderId="0" xfId="0" applyNumberFormat="1" applyFont="1" applyFill="1"/>
    <xf numFmtId="0" fontId="114" fillId="47" borderId="0" xfId="0" applyFont="1" applyFill="1"/>
    <xf numFmtId="0" fontId="115" fillId="0" borderId="0" xfId="0" applyFont="1" applyAlignment="1">
      <alignment wrapText="1"/>
    </xf>
    <xf numFmtId="165" fontId="115" fillId="0" borderId="0" xfId="28" applyNumberFormat="1" applyFont="1" applyFill="1" applyBorder="1"/>
    <xf numFmtId="0" fontId="113" fillId="0" borderId="0" xfId="0" applyFont="1"/>
    <xf numFmtId="0" fontId="114" fillId="47" borderId="0" xfId="0" applyFont="1" applyFill="1" applyAlignment="1">
      <alignment horizontal="center" vertical="center" wrapText="1"/>
    </xf>
    <xf numFmtId="173" fontId="115" fillId="47" borderId="0" xfId="0" applyNumberFormat="1" applyFont="1" applyFill="1" applyAlignment="1">
      <alignment vertical="top"/>
    </xf>
    <xf numFmtId="4" fontId="115" fillId="47" borderId="0" xfId="0" applyNumberFormat="1" applyFont="1" applyFill="1" applyAlignment="1">
      <alignment horizontal="center" vertical="top"/>
    </xf>
    <xf numFmtId="0" fontId="115" fillId="47" borderId="0" xfId="0" applyFont="1" applyFill="1" applyAlignment="1">
      <alignment vertical="top"/>
    </xf>
    <xf numFmtId="4" fontId="115" fillId="47" borderId="0" xfId="0" applyNumberFormat="1" applyFont="1" applyFill="1" applyAlignment="1">
      <alignment horizontal="right" vertical="top"/>
    </xf>
    <xf numFmtId="4" fontId="114" fillId="47" borderId="0" xfId="0" applyNumberFormat="1" applyFont="1" applyFill="1" applyAlignment="1">
      <alignment horizontal="center" vertical="top"/>
    </xf>
    <xf numFmtId="0" fontId="115" fillId="0" borderId="0" xfId="0" applyFont="1"/>
    <xf numFmtId="0" fontId="114" fillId="0" borderId="0" xfId="0" applyFont="1"/>
    <xf numFmtId="0" fontId="113" fillId="47" borderId="0" xfId="0" applyFont="1" applyFill="1" applyAlignment="1">
      <alignment vertical="top"/>
    </xf>
    <xf numFmtId="0" fontId="112" fillId="47" borderId="0" xfId="0" applyFont="1" applyFill="1" applyAlignment="1">
      <alignment vertical="top"/>
    </xf>
    <xf numFmtId="173" fontId="113" fillId="47" borderId="0" xfId="0" applyNumberFormat="1" applyFont="1" applyFill="1" applyAlignment="1">
      <alignment vertical="top"/>
    </xf>
    <xf numFmtId="0" fontId="112" fillId="47" borderId="0" xfId="0" quotePrefix="1" applyFont="1" applyFill="1" applyAlignment="1">
      <alignment horizontal="left" vertical="top"/>
    </xf>
    <xf numFmtId="0" fontId="112" fillId="47" borderId="0" xfId="0" quotePrefix="1" applyFont="1" applyFill="1" applyAlignment="1">
      <alignment vertical="top"/>
    </xf>
    <xf numFmtId="167" fontId="112" fillId="47" borderId="0" xfId="28" applyNumberFormat="1" applyFont="1" applyFill="1" applyBorder="1" applyAlignment="1">
      <alignment vertical="top"/>
    </xf>
    <xf numFmtId="167" fontId="113" fillId="47" borderId="0" xfId="28" applyNumberFormat="1" applyFont="1" applyFill="1" applyBorder="1" applyAlignment="1">
      <alignment vertical="top"/>
    </xf>
    <xf numFmtId="0" fontId="112" fillId="47" borderId="0" xfId="0" quotePrefix="1" applyFont="1" applyFill="1" applyAlignment="1">
      <alignment horizontal="center" vertical="center" wrapText="1"/>
    </xf>
    <xf numFmtId="0" fontId="112" fillId="0" borderId="0" xfId="0" applyFont="1" applyAlignment="1">
      <alignment horizontal="right"/>
    </xf>
    <xf numFmtId="0" fontId="114" fillId="0" borderId="0" xfId="0" applyFont="1" applyAlignment="1">
      <alignment wrapText="1"/>
    </xf>
    <xf numFmtId="0" fontId="115" fillId="0" borderId="0" xfId="0" applyFont="1" applyAlignment="1">
      <alignment horizontal="center" wrapText="1"/>
    </xf>
    <xf numFmtId="0" fontId="115" fillId="0" borderId="0" xfId="0" quotePrefix="1" applyFont="1" applyAlignment="1">
      <alignment horizontal="center"/>
    </xf>
    <xf numFmtId="167" fontId="115" fillId="47" borderId="0" xfId="0" quotePrefix="1" applyNumberFormat="1" applyFont="1" applyFill="1" applyAlignment="1">
      <alignment horizontal="center"/>
    </xf>
    <xf numFmtId="167" fontId="115" fillId="47" borderId="0" xfId="28" applyNumberFormat="1" applyFont="1" applyFill="1" applyBorder="1" applyAlignment="1">
      <alignment horizontal="center" vertical="top"/>
    </xf>
    <xf numFmtId="167" fontId="114" fillId="47" borderId="0" xfId="28" applyNumberFormat="1" applyFont="1" applyFill="1" applyBorder="1" applyAlignment="1">
      <alignment vertical="top"/>
    </xf>
    <xf numFmtId="167" fontId="114" fillId="47" borderId="0" xfId="28" applyNumberFormat="1" applyFont="1" applyFill="1" applyBorder="1" applyAlignment="1">
      <alignment horizontal="center" vertical="top"/>
    </xf>
    <xf numFmtId="165" fontId="112" fillId="47" borderId="0" xfId="28" applyNumberFormat="1" applyFont="1" applyFill="1" applyBorder="1" applyAlignment="1">
      <alignment vertical="top"/>
    </xf>
    <xf numFmtId="0" fontId="115" fillId="0" borderId="0" xfId="0" applyFont="1" applyAlignment="1">
      <alignment horizontal="right"/>
    </xf>
    <xf numFmtId="175" fontId="115" fillId="0" borderId="0" xfId="0" quotePrefix="1" applyNumberFormat="1" applyFont="1" applyAlignment="1">
      <alignment horizontal="center" wrapText="1"/>
    </xf>
    <xf numFmtId="167" fontId="113" fillId="47" borderId="0" xfId="28" applyNumberFormat="1" applyFont="1" applyFill="1" applyBorder="1" applyAlignment="1">
      <alignment horizontal="right" vertical="top"/>
    </xf>
    <xf numFmtId="0" fontId="112" fillId="0" borderId="0" xfId="0" applyFont="1" applyAlignment="1">
      <alignment wrapText="1"/>
    </xf>
    <xf numFmtId="0" fontId="113" fillId="0" borderId="0" xfId="0" applyFont="1" applyAlignment="1">
      <alignment wrapText="1"/>
    </xf>
    <xf numFmtId="165" fontId="112" fillId="0" borderId="0" xfId="28" quotePrefix="1" applyNumberFormat="1" applyFont="1" applyFill="1" applyBorder="1" applyAlignment="1">
      <alignment horizontal="center"/>
    </xf>
    <xf numFmtId="4" fontId="112" fillId="47" borderId="0" xfId="0" applyNumberFormat="1" applyFont="1" applyFill="1" applyAlignment="1">
      <alignment horizontal="center" vertical="top"/>
    </xf>
    <xf numFmtId="0" fontId="115" fillId="47" borderId="0" xfId="0" applyFont="1" applyFill="1" applyAlignment="1">
      <alignment horizontal="center" wrapText="1"/>
    </xf>
    <xf numFmtId="175" fontId="115" fillId="47" borderId="0" xfId="0" quotePrefix="1" applyNumberFormat="1" applyFont="1" applyFill="1" applyAlignment="1">
      <alignment horizontal="center" wrapText="1"/>
    </xf>
    <xf numFmtId="167" fontId="115" fillId="0" borderId="0" xfId="0" applyNumberFormat="1" applyFont="1"/>
    <xf numFmtId="0" fontId="116" fillId="0" borderId="0" xfId="0" applyFont="1" applyAlignment="1">
      <alignment horizontal="left"/>
    </xf>
    <xf numFmtId="0" fontId="117" fillId="0" borderId="0" xfId="0" applyFont="1"/>
    <xf numFmtId="2" fontId="116" fillId="0" borderId="0" xfId="0" applyNumberFormat="1" applyFont="1" applyAlignment="1">
      <alignment horizontal="right"/>
    </xf>
    <xf numFmtId="2" fontId="115" fillId="0" borderId="0" xfId="0" applyNumberFormat="1" applyFont="1"/>
    <xf numFmtId="167" fontId="112" fillId="0" borderId="0" xfId="28" applyNumberFormat="1" applyFont="1" applyFill="1" applyBorder="1" applyAlignment="1">
      <alignment horizontal="right" vertical="top"/>
    </xf>
    <xf numFmtId="165" fontId="112" fillId="0" borderId="0" xfId="28" applyNumberFormat="1" applyFont="1" applyFill="1"/>
    <xf numFmtId="0" fontId="112" fillId="0" borderId="0" xfId="0" applyFont="1" applyAlignment="1">
      <alignment vertical="top" wrapText="1"/>
    </xf>
    <xf numFmtId="0" fontId="115" fillId="0" borderId="0" xfId="0" applyFont="1" applyAlignment="1">
      <alignment vertical="top"/>
    </xf>
    <xf numFmtId="0" fontId="113" fillId="0" borderId="0" xfId="0" applyFont="1" applyAlignment="1">
      <alignment vertical="top" wrapText="1"/>
    </xf>
    <xf numFmtId="167" fontId="113" fillId="0" borderId="0" xfId="28" applyNumberFormat="1" applyFont="1" applyFill="1" applyBorder="1" applyAlignment="1">
      <alignment horizontal="right" vertical="top"/>
    </xf>
    <xf numFmtId="10" fontId="114" fillId="0" borderId="0" xfId="64" applyNumberFormat="1" applyFont="1" applyFill="1" applyAlignment="1">
      <alignment vertical="top"/>
    </xf>
    <xf numFmtId="0" fontId="114" fillId="0" borderId="0" xfId="0" applyFont="1" applyAlignment="1">
      <alignment vertical="top"/>
    </xf>
    <xf numFmtId="176" fontId="115" fillId="0" borderId="0" xfId="0" applyNumberFormat="1" applyFont="1"/>
    <xf numFmtId="167" fontId="113" fillId="0" borderId="0" xfId="0" applyNumberFormat="1" applyFont="1" applyAlignment="1">
      <alignment horizontal="right" vertical="top" wrapText="1"/>
    </xf>
    <xf numFmtId="167" fontId="112" fillId="0" borderId="0" xfId="0" applyNumberFormat="1" applyFont="1" applyAlignment="1">
      <alignment horizontal="right"/>
    </xf>
    <xf numFmtId="167" fontId="112" fillId="0" borderId="0" xfId="0" applyNumberFormat="1" applyFont="1"/>
    <xf numFmtId="165" fontId="112" fillId="0" borderId="0" xfId="28" applyNumberFormat="1" applyFont="1" applyFill="1" applyAlignment="1">
      <alignment horizontal="right"/>
    </xf>
    <xf numFmtId="43" fontId="112" fillId="0" borderId="0" xfId="28" applyFont="1" applyFill="1" applyBorder="1" applyAlignment="1">
      <alignment horizontal="right" vertical="top"/>
    </xf>
    <xf numFmtId="177" fontId="115" fillId="0" borderId="0" xfId="28" applyNumberFormat="1" applyFont="1" applyFill="1"/>
    <xf numFmtId="174" fontId="112" fillId="0" borderId="0" xfId="28" applyNumberFormat="1" applyFont="1" applyFill="1" applyBorder="1" applyAlignment="1">
      <alignment vertical="top"/>
    </xf>
    <xf numFmtId="165" fontId="115" fillId="0" borderId="0" xfId="28" applyNumberFormat="1" applyFont="1" applyFill="1"/>
    <xf numFmtId="167" fontId="115" fillId="0" borderId="0" xfId="28" applyNumberFormat="1" applyFont="1" applyFill="1" applyBorder="1" applyAlignment="1">
      <alignment vertical="top"/>
    </xf>
    <xf numFmtId="167" fontId="118" fillId="0" borderId="0" xfId="28" applyNumberFormat="1" applyFont="1" applyFill="1" applyBorder="1" applyAlignment="1">
      <alignment vertical="top"/>
    </xf>
    <xf numFmtId="167" fontId="115" fillId="0" borderId="0" xfId="28" applyNumberFormat="1" applyFont="1" applyFill="1" applyBorder="1" applyAlignment="1">
      <alignment horizontal="center" vertical="top"/>
    </xf>
    <xf numFmtId="178" fontId="112" fillId="0" borderId="0" xfId="28" applyNumberFormat="1" applyFont="1" applyFill="1" applyBorder="1" applyAlignment="1">
      <alignment horizontal="right" vertical="top"/>
    </xf>
    <xf numFmtId="42" fontId="4" fillId="0" borderId="0" xfId="0" applyNumberFormat="1" applyFont="1"/>
    <xf numFmtId="0" fontId="29" fillId="0" borderId="0" xfId="0" applyFont="1"/>
    <xf numFmtId="0" fontId="11" fillId="0" borderId="0" xfId="0" applyFont="1"/>
    <xf numFmtId="0" fontId="27" fillId="0" borderId="0" xfId="50" applyFont="1" applyAlignment="1">
      <alignment horizontal="left"/>
    </xf>
    <xf numFmtId="0" fontId="53" fillId="0" borderId="0" xfId="49" applyFont="1" applyAlignment="1">
      <alignment horizontal="left" wrapText="1"/>
    </xf>
    <xf numFmtId="39" fontId="27" fillId="0" borderId="0" xfId="50" applyNumberFormat="1" applyFont="1" applyAlignment="1">
      <alignment horizontal="left"/>
    </xf>
    <xf numFmtId="4" fontId="53" fillId="0" borderId="0" xfId="49" applyNumberFormat="1" applyFont="1" applyAlignment="1">
      <alignment horizontal="left" wrapText="1"/>
    </xf>
    <xf numFmtId="39" fontId="27" fillId="13" borderId="0" xfId="50" applyNumberFormat="1" applyFont="1" applyFill="1" applyAlignment="1">
      <alignment horizontal="left"/>
    </xf>
    <xf numFmtId="39" fontId="29" fillId="0" borderId="0" xfId="50" applyNumberFormat="1" applyFont="1" applyAlignment="1">
      <alignment horizontal="left"/>
    </xf>
    <xf numFmtId="0" fontId="53" fillId="14" borderId="0" xfId="49" applyFont="1" applyFill="1" applyAlignment="1">
      <alignment horizontal="left" wrapText="1"/>
    </xf>
    <xf numFmtId="0" fontId="11" fillId="0" borderId="0" xfId="45" applyFont="1" applyAlignment="1">
      <alignment horizontal="left" wrapText="1"/>
    </xf>
    <xf numFmtId="4" fontId="11" fillId="0" borderId="0" xfId="45" applyNumberFormat="1" applyFont="1" applyAlignment="1">
      <alignment horizontal="left" wrapText="1"/>
    </xf>
    <xf numFmtId="0" fontId="11" fillId="11" borderId="0" xfId="45" applyFont="1" applyFill="1" applyAlignment="1">
      <alignment horizontal="left" wrapText="1"/>
    </xf>
    <xf numFmtId="4" fontId="11" fillId="11" borderId="0" xfId="45" applyNumberFormat="1" applyFont="1" applyFill="1" applyAlignment="1">
      <alignment horizontal="left" wrapText="1"/>
    </xf>
    <xf numFmtId="0" fontId="11" fillId="0" borderId="0" xfId="41" applyFont="1" applyAlignment="1">
      <alignment horizontal="left" wrapText="1"/>
    </xf>
    <xf numFmtId="4" fontId="11" fillId="0" borderId="0" xfId="41" applyNumberFormat="1" applyFont="1" applyAlignment="1">
      <alignment horizontal="left" wrapText="1"/>
    </xf>
    <xf numFmtId="0" fontId="29" fillId="0" borderId="0" xfId="50" applyFont="1" applyAlignment="1">
      <alignment horizontal="left"/>
    </xf>
    <xf numFmtId="0" fontId="27" fillId="0" borderId="15" xfId="50" applyFont="1" applyBorder="1" applyAlignment="1">
      <alignment horizontal="left"/>
    </xf>
    <xf numFmtId="0" fontId="53" fillId="0" borderId="0" xfId="44" applyFont="1" applyAlignment="1">
      <alignment horizontal="left"/>
    </xf>
    <xf numFmtId="0" fontId="44" fillId="0" borderId="0" xfId="42" applyFont="1" applyAlignment="1">
      <alignment horizontal="left"/>
    </xf>
    <xf numFmtId="4" fontId="53" fillId="0" borderId="0" xfId="46" applyNumberFormat="1" applyFont="1" applyAlignment="1">
      <alignment wrapText="1"/>
    </xf>
    <xf numFmtId="0" fontId="53" fillId="22" borderId="0" xfId="44" applyFont="1" applyFill="1" applyAlignment="1">
      <alignment horizontal="left"/>
    </xf>
    <xf numFmtId="0" fontId="53" fillId="0" borderId="0" xfId="46" applyFont="1" applyAlignment="1">
      <alignment wrapText="1"/>
    </xf>
    <xf numFmtId="0" fontId="53" fillId="0" borderId="0" xfId="46" applyFont="1" applyAlignment="1">
      <alignment horizontal="left" wrapText="1"/>
    </xf>
    <xf numFmtId="0" fontId="51" fillId="0" borderId="0" xfId="42" applyFont="1" applyAlignment="1">
      <alignment horizontal="left"/>
    </xf>
    <xf numFmtId="0" fontId="44" fillId="13" borderId="0" xfId="42" applyFont="1" applyFill="1" applyAlignment="1">
      <alignment horizontal="right" wrapText="1"/>
    </xf>
    <xf numFmtId="0" fontId="44" fillId="22" borderId="0" xfId="42" applyFont="1" applyFill="1" applyAlignment="1">
      <alignment horizontal="right" wrapText="1"/>
    </xf>
    <xf numFmtId="0" fontId="48" fillId="0" borderId="10" xfId="0" quotePrefix="1" applyFont="1" applyBorder="1" applyAlignment="1">
      <alignment horizontal="center"/>
    </xf>
    <xf numFmtId="0" fontId="48" fillId="0" borderId="7" xfId="0" applyFont="1" applyBorder="1" applyAlignment="1">
      <alignment horizontal="center"/>
    </xf>
    <xf numFmtId="167" fontId="35" fillId="0" borderId="8" xfId="0" applyNumberFormat="1" applyFont="1" applyBorder="1" applyAlignment="1">
      <alignment vertical="top"/>
    </xf>
    <xf numFmtId="0" fontId="72" fillId="23" borderId="3" xfId="0" applyFont="1" applyFill="1" applyBorder="1"/>
    <xf numFmtId="0" fontId="72" fillId="23" borderId="0" xfId="0" applyFont="1" applyFill="1"/>
    <xf numFmtId="166" fontId="48" fillId="14" borderId="10" xfId="0" quotePrefix="1" applyNumberFormat="1" applyFont="1" applyFill="1" applyBorder="1" applyAlignment="1">
      <alignment horizontal="centerContinuous"/>
    </xf>
    <xf numFmtId="167" fontId="35" fillId="14" borderId="8" xfId="0" applyNumberFormat="1" applyFont="1" applyFill="1" applyBorder="1" applyAlignment="1">
      <alignment vertical="top"/>
    </xf>
    <xf numFmtId="167" fontId="48" fillId="14" borderId="10" xfId="0" applyNumberFormat="1" applyFont="1" applyFill="1" applyBorder="1"/>
    <xf numFmtId="167" fontId="48" fillId="14" borderId="7" xfId="0" applyNumberFormat="1" applyFont="1" applyFill="1" applyBorder="1"/>
    <xf numFmtId="167" fontId="48" fillId="14" borderId="5" xfId="0" applyNumberFormat="1" applyFont="1" applyFill="1" applyBorder="1"/>
    <xf numFmtId="167" fontId="48" fillId="14" borderId="8" xfId="0" applyNumberFormat="1" applyFont="1" applyFill="1" applyBorder="1"/>
    <xf numFmtId="167" fontId="54" fillId="0" borderId="0" xfId="0" applyNumberFormat="1" applyFont="1"/>
    <xf numFmtId="0" fontId="44" fillId="0" borderId="25" xfId="0" applyFont="1" applyBorder="1"/>
    <xf numFmtId="167" fontId="44" fillId="0" borderId="0" xfId="0" applyNumberFormat="1" applyFont="1"/>
    <xf numFmtId="167" fontId="44" fillId="0" borderId="29" xfId="0" applyNumberFormat="1" applyFont="1" applyBorder="1"/>
    <xf numFmtId="167" fontId="51" fillId="0" borderId="15" xfId="0" applyNumberFormat="1" applyFont="1" applyBorder="1"/>
    <xf numFmtId="167" fontId="51" fillId="0" borderId="31" xfId="0" applyNumberFormat="1" applyFont="1" applyBorder="1"/>
    <xf numFmtId="167" fontId="51" fillId="0" borderId="0" xfId="0" applyNumberFormat="1" applyFont="1"/>
    <xf numFmtId="167" fontId="51" fillId="0" borderId="29" xfId="0" applyNumberFormat="1" applyFont="1" applyBorder="1"/>
    <xf numFmtId="0" fontId="44" fillId="0" borderId="29" xfId="0" applyFont="1" applyBorder="1"/>
    <xf numFmtId="167" fontId="44" fillId="0" borderId="27" xfId="0" applyNumberFormat="1" applyFont="1" applyBorder="1"/>
    <xf numFmtId="167" fontId="44" fillId="0" borderId="28" xfId="0" applyNumberFormat="1" applyFont="1" applyBorder="1"/>
    <xf numFmtId="0" fontId="53" fillId="0" borderId="0" xfId="52" applyFont="1" applyAlignment="1">
      <alignment horizontal="left" wrapText="1"/>
    </xf>
    <xf numFmtId="0" fontId="4" fillId="0" borderId="4" xfId="0" applyFont="1" applyBorder="1"/>
    <xf numFmtId="0" fontId="4" fillId="0" borderId="7" xfId="0" applyFont="1" applyBorder="1"/>
    <xf numFmtId="0" fontId="4" fillId="0" borderId="5" xfId="0" applyFont="1" applyBorder="1"/>
    <xf numFmtId="0" fontId="4" fillId="17" borderId="7" xfId="0" applyFont="1" applyFill="1" applyBorder="1"/>
    <xf numFmtId="0" fontId="4" fillId="0" borderId="3" xfId="0" applyFont="1" applyBorder="1"/>
    <xf numFmtId="0" fontId="4" fillId="0" borderId="8" xfId="0" applyFont="1" applyBorder="1"/>
    <xf numFmtId="0" fontId="4" fillId="17" borderId="8" xfId="0" applyFont="1" applyFill="1" applyBorder="1"/>
    <xf numFmtId="7" fontId="4" fillId="0" borderId="10" xfId="30" applyNumberFormat="1" applyFont="1" applyBorder="1"/>
    <xf numFmtId="7" fontId="4" fillId="0" borderId="2" xfId="30" applyNumberFormat="1" applyFont="1" applyBorder="1"/>
    <xf numFmtId="7" fontId="4" fillId="17" borderId="10" xfId="30" applyNumberFormat="1" applyFont="1" applyFill="1" applyBorder="1"/>
    <xf numFmtId="7" fontId="4" fillId="0" borderId="2" xfId="30" applyNumberFormat="1" applyFont="1" applyFill="1" applyBorder="1"/>
    <xf numFmtId="7" fontId="4" fillId="0" borderId="8" xfId="0" applyNumberFormat="1" applyFont="1" applyBorder="1"/>
    <xf numFmtId="7" fontId="4" fillId="0" borderId="0" xfId="0" applyNumberFormat="1" applyFont="1"/>
    <xf numFmtId="7" fontId="4" fillId="17" borderId="8" xfId="0" applyNumberFormat="1" applyFont="1" applyFill="1" applyBorder="1"/>
    <xf numFmtId="5" fontId="4" fillId="0" borderId="8" xfId="30" applyNumberFormat="1" applyFont="1" applyBorder="1"/>
    <xf numFmtId="5" fontId="4" fillId="0" borderId="0" xfId="30" applyNumberFormat="1" applyFont="1" applyBorder="1"/>
    <xf numFmtId="5" fontId="4" fillId="17" borderId="8" xfId="30" applyNumberFormat="1" applyFont="1" applyFill="1" applyBorder="1"/>
    <xf numFmtId="5" fontId="4" fillId="0" borderId="0" xfId="30" applyNumberFormat="1" applyFont="1" applyFill="1" applyBorder="1"/>
    <xf numFmtId="5" fontId="4" fillId="0" borderId="8" xfId="0" applyNumberFormat="1" applyFont="1" applyBorder="1"/>
    <xf numFmtId="5" fontId="4" fillId="0" borderId="0" xfId="0" applyNumberFormat="1" applyFont="1"/>
    <xf numFmtId="5" fontId="4" fillId="17" borderId="8" xfId="0" applyNumberFormat="1" applyFont="1" applyFill="1" applyBorder="1"/>
    <xf numFmtId="2" fontId="4" fillId="0" borderId="0" xfId="0" applyNumberFormat="1" applyFont="1"/>
    <xf numFmtId="44" fontId="4" fillId="0" borderId="0" xfId="30" applyFont="1" applyBorder="1"/>
    <xf numFmtId="44" fontId="4" fillId="0" borderId="0" xfId="30" applyFont="1" applyFill="1" applyBorder="1"/>
    <xf numFmtId="168" fontId="4" fillId="0" borderId="0" xfId="30" applyNumberFormat="1" applyFont="1" applyBorder="1"/>
    <xf numFmtId="168" fontId="4" fillId="0" borderId="0" xfId="30" applyNumberFormat="1" applyFont="1" applyFill="1" applyBorder="1"/>
    <xf numFmtId="168" fontId="4" fillId="0" borderId="0" xfId="30" applyNumberFormat="1" applyFont="1"/>
    <xf numFmtId="168" fontId="4" fillId="0" borderId="0" xfId="30" applyNumberFormat="1" applyFont="1" applyFill="1"/>
    <xf numFmtId="43" fontId="4" fillId="0" borderId="0" xfId="28" applyFont="1"/>
    <xf numFmtId="165" fontId="4" fillId="0" borderId="15" xfId="28" applyNumberFormat="1" applyFont="1" applyBorder="1"/>
    <xf numFmtId="165" fontId="4" fillId="0" borderId="0" xfId="28" applyNumberFormat="1" applyFont="1" applyBorder="1"/>
    <xf numFmtId="10" fontId="15" fillId="0" borderId="0" xfId="64" applyNumberFormat="1" applyFont="1"/>
    <xf numFmtId="165" fontId="15" fillId="0" borderId="0" xfId="28" quotePrefix="1" applyNumberFormat="1" applyFont="1"/>
    <xf numFmtId="10" fontId="15" fillId="0" borderId="0" xfId="64" quotePrefix="1" applyNumberFormat="1" applyFont="1"/>
    <xf numFmtId="166" fontId="6" fillId="0" borderId="3" xfId="0" applyNumberFormat="1" applyFont="1" applyBorder="1" applyAlignment="1">
      <alignment horizontal="center"/>
    </xf>
    <xf numFmtId="166" fontId="6" fillId="0" borderId="8" xfId="0" applyNumberFormat="1" applyFont="1" applyBorder="1" applyAlignment="1">
      <alignment horizontal="center"/>
    </xf>
    <xf numFmtId="166" fontId="6" fillId="0" borderId="17" xfId="0" applyNumberFormat="1" applyFont="1" applyBorder="1" applyAlignment="1">
      <alignment horizontal="center"/>
    </xf>
    <xf numFmtId="167" fontId="112" fillId="0" borderId="0" xfId="28" applyNumberFormat="1" applyFont="1" applyFill="1" applyBorder="1" applyAlignment="1">
      <alignment vertical="top"/>
    </xf>
    <xf numFmtId="181" fontId="112" fillId="0" borderId="0" xfId="28" applyNumberFormat="1" applyFont="1" applyFill="1" applyBorder="1" applyAlignment="1">
      <alignment horizontal="right" vertical="top"/>
    </xf>
    <xf numFmtId="182" fontId="112" fillId="0" borderId="0" xfId="28" applyNumberFormat="1" applyFont="1" applyFill="1" applyBorder="1" applyAlignment="1">
      <alignment horizontal="right" vertical="top"/>
    </xf>
    <xf numFmtId="0" fontId="7" fillId="0" borderId="0" xfId="0" applyFont="1" applyAlignment="1">
      <alignment horizontal="center" vertical="top" wrapText="1"/>
    </xf>
    <xf numFmtId="0" fontId="84" fillId="0" borderId="1" xfId="0" applyFont="1" applyBorder="1" applyAlignment="1">
      <alignment horizontal="left" vertical="top" wrapText="1"/>
    </xf>
    <xf numFmtId="0" fontId="84" fillId="0" borderId="18" xfId="0" applyFont="1" applyBorder="1" applyAlignment="1">
      <alignment horizontal="left" vertical="top" wrapText="1"/>
    </xf>
    <xf numFmtId="0" fontId="7" fillId="13" borderId="0" xfId="0" applyFont="1" applyFill="1" applyAlignment="1">
      <alignment horizontal="center" vertical="top" wrapText="1"/>
    </xf>
    <xf numFmtId="0" fontId="80" fillId="0" borderId="10" xfId="0" applyFont="1" applyBorder="1" applyAlignment="1">
      <alignment horizontal="right" vertical="top" wrapText="1"/>
    </xf>
    <xf numFmtId="0" fontId="80" fillId="0" borderId="7" xfId="0" applyFont="1" applyBorder="1" applyAlignment="1">
      <alignment horizontal="right" vertical="top" wrapText="1"/>
    </xf>
    <xf numFmtId="0" fontId="22" fillId="0" borderId="0" xfId="0" applyFont="1" applyAlignment="1">
      <alignment horizontal="left" vertical="top" wrapText="1"/>
    </xf>
    <xf numFmtId="0" fontId="10" fillId="0" borderId="0" xfId="0" applyFont="1" applyAlignment="1">
      <alignment horizontal="center" vertical="top" wrapText="1"/>
    </xf>
    <xf numFmtId="0" fontId="83" fillId="0" borderId="0" xfId="0" applyFont="1" applyAlignment="1">
      <alignment horizontal="center" vertical="center" wrapText="1"/>
    </xf>
    <xf numFmtId="0" fontId="84" fillId="0" borderId="3" xfId="0" applyFont="1" applyBorder="1" applyAlignment="1">
      <alignment horizontal="left" vertical="top" wrapText="1"/>
    </xf>
    <xf numFmtId="0" fontId="84" fillId="0" borderId="17" xfId="0" applyFont="1" applyBorder="1" applyAlignment="1">
      <alignment horizontal="left" vertical="top" wrapText="1"/>
    </xf>
    <xf numFmtId="0" fontId="80" fillId="0" borderId="39" xfId="0" applyFont="1" applyBorder="1" applyAlignment="1">
      <alignment horizontal="left" vertical="center" wrapText="1"/>
    </xf>
    <xf numFmtId="0" fontId="80" fillId="0" borderId="32" xfId="0" applyFont="1" applyBorder="1" applyAlignment="1">
      <alignment horizontal="left" vertical="center" wrapText="1"/>
    </xf>
    <xf numFmtId="0" fontId="80" fillId="0" borderId="40" xfId="0" applyFont="1" applyBorder="1" applyAlignment="1">
      <alignment horizontal="left" vertical="center" wrapText="1"/>
    </xf>
    <xf numFmtId="0" fontId="80" fillId="0" borderId="1" xfId="0" applyFont="1" applyBorder="1" applyAlignment="1">
      <alignment horizontal="left" vertical="center" wrapText="1"/>
    </xf>
    <xf numFmtId="0" fontId="80" fillId="0" borderId="18" xfId="0" applyFont="1" applyBorder="1" applyAlignment="1">
      <alignment horizontal="left" vertical="center" wrapText="1"/>
    </xf>
    <xf numFmtId="0" fontId="83" fillId="9" borderId="20" xfId="0" quotePrefix="1" applyFont="1" applyFill="1" applyBorder="1" applyAlignment="1">
      <alignment horizontal="center" vertical="center" wrapText="1"/>
    </xf>
    <xf numFmtId="0" fontId="83" fillId="9" borderId="15" xfId="0" applyFont="1" applyFill="1" applyBorder="1" applyAlignment="1">
      <alignment horizontal="center" vertical="center" wrapText="1"/>
    </xf>
    <xf numFmtId="0" fontId="83" fillId="9" borderId="21" xfId="0" applyFont="1" applyFill="1" applyBorder="1" applyAlignment="1">
      <alignment horizontal="center" vertical="center" wrapText="1"/>
    </xf>
    <xf numFmtId="0" fontId="83" fillId="9" borderId="20" xfId="0" applyFont="1" applyFill="1" applyBorder="1" applyAlignment="1">
      <alignment horizontal="center" vertical="center" wrapText="1"/>
    </xf>
    <xf numFmtId="0" fontId="15" fillId="0" borderId="0" xfId="0" applyFont="1" applyAlignment="1">
      <alignment wrapText="1"/>
    </xf>
    <xf numFmtId="0" fontId="89" fillId="0" borderId="0" xfId="0" applyFont="1" applyAlignment="1">
      <alignment horizontal="center"/>
    </xf>
    <xf numFmtId="0" fontId="21" fillId="0" borderId="0" xfId="0" applyFont="1" applyAlignment="1">
      <alignment horizontal="center" vertical="center" wrapText="1"/>
    </xf>
    <xf numFmtId="0" fontId="76" fillId="20" borderId="0" xfId="0" applyFont="1" applyFill="1" applyAlignment="1">
      <alignment horizontal="left" vertical="top" wrapText="1"/>
    </xf>
    <xf numFmtId="0" fontId="68" fillId="0" borderId="19" xfId="51" applyFont="1" applyBorder="1" applyAlignment="1">
      <alignment horizontal="center" vertical="top" wrapText="1"/>
    </xf>
    <xf numFmtId="0" fontId="68" fillId="0" borderId="10" xfId="51" applyFont="1" applyBorder="1" applyAlignment="1">
      <alignment horizontal="center" vertical="top" wrapText="1"/>
    </xf>
    <xf numFmtId="0" fontId="68" fillId="0" borderId="7" xfId="51" applyFont="1" applyBorder="1" applyAlignment="1">
      <alignment horizontal="center" vertical="top" wrapText="1"/>
    </xf>
    <xf numFmtId="166" fontId="48" fillId="14" borderId="1" xfId="0" quotePrefix="1" applyNumberFormat="1" applyFont="1" applyFill="1" applyBorder="1" applyAlignment="1">
      <alignment horizontal="center"/>
    </xf>
    <xf numFmtId="166" fontId="48" fillId="14" borderId="2" xfId="0" quotePrefix="1" applyNumberFormat="1" applyFont="1" applyFill="1" applyBorder="1" applyAlignment="1">
      <alignment horizontal="center"/>
    </xf>
    <xf numFmtId="166" fontId="51" fillId="14" borderId="18" xfId="0" applyNumberFormat="1" applyFont="1" applyFill="1" applyBorder="1" applyAlignment="1">
      <alignment horizontal="center"/>
    </xf>
    <xf numFmtId="0" fontId="35" fillId="0" borderId="3" xfId="0" applyFont="1" applyBorder="1" applyAlignment="1">
      <alignment horizontal="left" vertical="top" wrapText="1"/>
    </xf>
    <xf numFmtId="0" fontId="35" fillId="0" borderId="0" xfId="0" applyFont="1" applyAlignment="1">
      <alignment horizontal="left" vertical="top" wrapText="1"/>
    </xf>
    <xf numFmtId="0" fontId="35" fillId="0" borderId="17" xfId="0" applyFont="1" applyBorder="1" applyAlignment="1">
      <alignment horizontal="left" vertical="top" wrapText="1"/>
    </xf>
    <xf numFmtId="0" fontId="50" fillId="0" borderId="0" xfId="0" applyFont="1" applyAlignment="1">
      <alignment horizontal="center"/>
    </xf>
    <xf numFmtId="0" fontId="44" fillId="0" borderId="0" xfId="0" applyFont="1" applyAlignment="1">
      <alignment horizontal="center"/>
    </xf>
    <xf numFmtId="0" fontId="44" fillId="0" borderId="0" xfId="0" applyFont="1"/>
    <xf numFmtId="166" fontId="48" fillId="0" borderId="1" xfId="0" quotePrefix="1" applyNumberFormat="1" applyFont="1" applyBorder="1" applyAlignment="1">
      <alignment horizontal="center"/>
    </xf>
    <xf numFmtId="166" fontId="44" fillId="0" borderId="18" xfId="0" applyNumberFormat="1" applyFont="1" applyBorder="1" applyAlignment="1">
      <alignment horizontal="center"/>
    </xf>
    <xf numFmtId="0" fontId="50" fillId="0" borderId="0" xfId="0" applyFont="1" applyAlignment="1">
      <alignment horizontal="center" wrapText="1"/>
    </xf>
    <xf numFmtId="166" fontId="48" fillId="0" borderId="2" xfId="0" quotePrefix="1" applyNumberFormat="1" applyFont="1" applyBorder="1" applyAlignment="1">
      <alignment horizontal="center"/>
    </xf>
    <xf numFmtId="0" fontId="0" fillId="0" borderId="18" xfId="0" applyBorder="1"/>
    <xf numFmtId="43" fontId="24" fillId="0" borderId="0" xfId="28" applyFont="1" applyFill="1" applyAlignment="1">
      <alignment horizontal="center" vertical="center" textRotation="90" wrapText="1"/>
    </xf>
    <xf numFmtId="43" fontId="24" fillId="0" borderId="0" xfId="28" applyFont="1" applyAlignment="1">
      <alignment horizontal="center" vertical="center" textRotation="90" wrapText="1"/>
    </xf>
    <xf numFmtId="43" fontId="24" fillId="0" borderId="27" xfId="28" applyFont="1" applyBorder="1" applyAlignment="1">
      <alignment horizontal="center" vertical="center" textRotation="90" wrapText="1"/>
    </xf>
  </cellXfs>
  <cellStyles count="6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xfId="29" xr:uid="{00000000-0005-0000-0000-00001C000000}"/>
    <cellStyle name="Currency" xfId="30" builtinId="4"/>
    <cellStyle name="Explanatory Text" xfId="31" builtinId="53" customBuiltin="1"/>
    <cellStyle name="Good" xfId="32" builtinId="26" customBuiltin="1"/>
    <cellStyle name="Heading 1" xfId="33" builtinId="16" customBuiltin="1"/>
    <cellStyle name="Heading 2" xfId="34" builtinId="17" customBuiltin="1"/>
    <cellStyle name="Heading 3" xfId="35" builtinId="18" customBuiltin="1"/>
    <cellStyle name="Heading 4" xfId="36" builtinId="19" customBuiltin="1"/>
    <cellStyle name="Input" xfId="37" builtinId="20" customBuiltin="1"/>
    <cellStyle name="Linked Cell" xfId="38" builtinId="24" customBuiltin="1"/>
    <cellStyle name="Neutral" xfId="39" builtinId="28" customBuiltin="1"/>
    <cellStyle name="Normal" xfId="0" builtinId="0"/>
    <cellStyle name="Normal 10" xfId="40" xr:uid="{00000000-0005-0000-0000-000028000000}"/>
    <cellStyle name="Normal 11" xfId="41" xr:uid="{00000000-0005-0000-0000-000029000000}"/>
    <cellStyle name="Normal 12" xfId="42" xr:uid="{00000000-0005-0000-0000-00002A000000}"/>
    <cellStyle name="Normal 13" xfId="43" xr:uid="{00000000-0005-0000-0000-00002B000000}"/>
    <cellStyle name="Normal 14" xfId="44" xr:uid="{00000000-0005-0000-0000-00002C000000}"/>
    <cellStyle name="Normal 15" xfId="45" xr:uid="{00000000-0005-0000-0000-00002D000000}"/>
    <cellStyle name="Normal 16" xfId="46" xr:uid="{00000000-0005-0000-0000-00002E000000}"/>
    <cellStyle name="Normal 17" xfId="47" xr:uid="{00000000-0005-0000-0000-00002F000000}"/>
    <cellStyle name="Normal 18" xfId="48" xr:uid="{00000000-0005-0000-0000-000030000000}"/>
    <cellStyle name="Normal 19" xfId="49" xr:uid="{00000000-0005-0000-0000-000031000000}"/>
    <cellStyle name="Normal 2" xfId="50" xr:uid="{00000000-0005-0000-0000-000032000000}"/>
    <cellStyle name="Normal 20" xfId="51" xr:uid="{00000000-0005-0000-0000-000033000000}"/>
    <cellStyle name="Normal 3" xfId="52" xr:uid="{00000000-0005-0000-0000-000034000000}"/>
    <cellStyle name="Normal 4" xfId="53" xr:uid="{00000000-0005-0000-0000-000035000000}"/>
    <cellStyle name="Normal 5" xfId="54" xr:uid="{00000000-0005-0000-0000-000036000000}"/>
    <cellStyle name="Normal 6" xfId="55" xr:uid="{00000000-0005-0000-0000-000037000000}"/>
    <cellStyle name="Normal 7" xfId="56" xr:uid="{00000000-0005-0000-0000-000038000000}"/>
    <cellStyle name="Normal 8" xfId="57" xr:uid="{00000000-0005-0000-0000-000039000000}"/>
    <cellStyle name="Normal 9" xfId="58" xr:uid="{00000000-0005-0000-0000-00003A000000}"/>
    <cellStyle name="Normal_Book1" xfId="59" xr:uid="{00000000-0005-0000-0000-00003B000000}"/>
    <cellStyle name="Normal_Govermnent Grants 0708" xfId="60" xr:uid="{00000000-0005-0000-0000-00003C000000}"/>
    <cellStyle name="Note 2" xfId="61" xr:uid="{00000000-0005-0000-0000-00003D000000}"/>
    <cellStyle name="Note 3" xfId="62" xr:uid="{00000000-0005-0000-0000-00003E000000}"/>
    <cellStyle name="Output" xfId="63" builtinId="21" customBuiltin="1"/>
    <cellStyle name="Percent" xfId="64" builtinId="5"/>
    <cellStyle name="Title" xfId="65" builtinId="15" customBuiltin="1"/>
    <cellStyle name="Total" xfId="66" builtinId="25" customBuiltin="1"/>
    <cellStyle name="Warning Text" xfId="67"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sharedStrings" Target="sharedStrings.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ddc\UserRoot$\Accountancy\Dorchester%20Town%20Council\Closure%20of%20Accounts%200405\Financial%20statements\Accounts%20TC%202004-05%20DCC%20amended%20R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ddc\UserRoot$\Audit\reports%200506\DMJC\Audit%20testing%20schedul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ddc\UserRoot$\Estimates\2003%20-%202004%20Estimates\Summary%20&amp;%20Budget%20Book%20Papers\Budget%20summary%2003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ld"/>
      <sheetName val="Data"/>
      <sheetName val="Rv"/>
      <sheetName val="TB"/>
      <sheetName val="CW"/>
      <sheetName val="L&amp;B"/>
      <sheetName val="Veh"/>
      <sheetName val="Eqpt"/>
      <sheetName val="J"/>
      <sheetName val="Cover"/>
      <sheetName val="Contents"/>
      <sheetName val="Introduction"/>
      <sheetName val="Audit Opinion"/>
      <sheetName val="Foreword"/>
      <sheetName val="Foreword 2"/>
      <sheetName val="Statement of Responsibilities"/>
      <sheetName val="SAP 1"/>
      <sheetName val="SAP 2"/>
      <sheetName val="SAP3"/>
      <sheetName val="SAP4"/>
      <sheetName val="SIC1"/>
      <sheetName val="SIC2"/>
      <sheetName val="SIC3"/>
      <sheetName val="SIC4"/>
      <sheetName val="SIC5"/>
      <sheetName val="SIC6"/>
      <sheetName val="SIC7"/>
      <sheetName val="CRA"/>
      <sheetName val="Notes CRA"/>
      <sheetName val="Notes CRA 2"/>
      <sheetName val="Notes CRA 3"/>
      <sheetName val="BS"/>
      <sheetName val="Notes BS"/>
      <sheetName val="Notes BS 2"/>
      <sheetName val="Notes BS 3"/>
      <sheetName val="STMR"/>
      <sheetName val="STMR notes"/>
      <sheetName val="CF"/>
      <sheetName val="CF notes"/>
      <sheetName val="Glossary 1"/>
      <sheetName val="Glossary 2"/>
    </sheetNames>
    <sheetDataSet>
      <sheetData sheetId="0" refreshError="1"/>
      <sheetData sheetId="1" refreshError="1"/>
      <sheetData sheetId="2" refreshError="1"/>
      <sheetData sheetId="3">
        <row r="17">
          <cell r="E17">
            <v>0</v>
          </cell>
        </row>
        <row r="32">
          <cell r="E32">
            <v>64221.03</v>
          </cell>
        </row>
        <row r="35">
          <cell r="E35">
            <v>31.12</v>
          </cell>
        </row>
        <row r="47">
          <cell r="E47">
            <v>868730.02</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refreshError="1"/>
      <sheetData sheetId="30" refreshError="1"/>
      <sheetData sheetId="31" refreshError="1"/>
      <sheetData sheetId="32" refreshError="1"/>
      <sheetData sheetId="33"/>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dings"/>
      <sheetName val="Journals"/>
      <sheetName val="Test"/>
      <sheetName val="Undistributed income"/>
      <sheetName val="2001-02 AR"/>
      <sheetName val="2001-02 BS"/>
      <sheetName val="2002-03 AR"/>
      <sheetName val="2002-03 BS"/>
      <sheetName val="2003-04 AR"/>
      <sheetName val="2003-04 BS"/>
      <sheetName val="2004-05 AR"/>
      <sheetName val="2004-05 BS"/>
      <sheetName val="Car park income"/>
      <sheetName val="Sheet3"/>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timetable"/>
      <sheetName val="0203 Original"/>
      <sheetName val="0203 revised"/>
      <sheetName val="0304 original"/>
      <sheetName val="Comm Dev"/>
      <sheetName val="Environ"/>
      <sheetName val="Exec"/>
      <sheetName val="report"/>
      <sheetName val="BVPP"/>
      <sheetName val="GF Summary"/>
      <sheetName val="Grant Change"/>
      <sheetName val="CTax Resolu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2">
      <a:majorFont>
        <a:latin typeface="Arial"/>
        <a:ea typeface=""/>
        <a:cs typeface=""/>
        <a:font script="Jpan" typeface="ＭＳ Ｐゴシック"/>
        <a:font script="Hang" typeface="돋움"/>
        <a:font script="Hans" typeface="方正舒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돋움"/>
        <a:font script="Hans" typeface="方正舒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23.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48"/>
  <sheetViews>
    <sheetView workbookViewId="0"/>
  </sheetViews>
  <sheetFormatPr defaultRowHeight="13" x14ac:dyDescent="0.3"/>
  <cols>
    <col min="1" max="1" width="35" style="143" customWidth="1"/>
  </cols>
  <sheetData>
    <row r="1" spans="1:2" x14ac:dyDescent="0.3">
      <c r="A1" s="144" t="s">
        <v>0</v>
      </c>
    </row>
    <row r="2" spans="1:2" x14ac:dyDescent="0.3">
      <c r="A2" s="146">
        <v>40164</v>
      </c>
      <c r="B2" t="s">
        <v>1</v>
      </c>
    </row>
    <row r="3" spans="1:2" x14ac:dyDescent="0.3">
      <c r="A3" s="146">
        <v>40170</v>
      </c>
      <c r="B3" s="141" t="s">
        <v>2</v>
      </c>
    </row>
    <row r="4" spans="1:2" x14ac:dyDescent="0.3">
      <c r="A4" s="146">
        <v>40170</v>
      </c>
      <c r="B4" t="s">
        <v>3</v>
      </c>
    </row>
    <row r="5" spans="1:2" x14ac:dyDescent="0.3">
      <c r="A5" s="146">
        <v>39819</v>
      </c>
      <c r="B5" t="s">
        <v>4</v>
      </c>
    </row>
    <row r="6" spans="1:2" x14ac:dyDescent="0.3">
      <c r="A6" s="146">
        <v>39826</v>
      </c>
      <c r="B6" t="s">
        <v>5</v>
      </c>
    </row>
    <row r="7" spans="1:2" x14ac:dyDescent="0.3">
      <c r="A7" s="146">
        <v>39833</v>
      </c>
      <c r="B7" t="s">
        <v>6</v>
      </c>
    </row>
    <row r="8" spans="1:2" x14ac:dyDescent="0.3">
      <c r="A8" s="146"/>
    </row>
    <row r="10" spans="1:2" x14ac:dyDescent="0.3">
      <c r="A10" s="144" t="s">
        <v>7</v>
      </c>
    </row>
    <row r="11" spans="1:2" x14ac:dyDescent="0.3">
      <c r="A11" s="142" t="s">
        <v>8</v>
      </c>
    </row>
    <row r="12" spans="1:2" x14ac:dyDescent="0.3">
      <c r="A12" s="142" t="s">
        <v>9</v>
      </c>
    </row>
    <row r="13" spans="1:2" x14ac:dyDescent="0.3">
      <c r="A13" s="142" t="s">
        <v>10</v>
      </c>
      <c r="B13" s="141" t="s">
        <v>11</v>
      </c>
    </row>
    <row r="14" spans="1:2" x14ac:dyDescent="0.3">
      <c r="A14" s="142"/>
      <c r="B14" s="145" t="s">
        <v>12</v>
      </c>
    </row>
    <row r="15" spans="1:2" x14ac:dyDescent="0.3">
      <c r="B15" s="141" t="s">
        <v>13</v>
      </c>
    </row>
    <row r="16" spans="1:2" x14ac:dyDescent="0.3">
      <c r="A16" s="143" t="s">
        <v>14</v>
      </c>
      <c r="B16" s="141"/>
    </row>
    <row r="17" spans="1:1" x14ac:dyDescent="0.3">
      <c r="A17" s="143" t="s">
        <v>15</v>
      </c>
    </row>
    <row r="18" spans="1:1" x14ac:dyDescent="0.3">
      <c r="A18" s="143" t="s">
        <v>16</v>
      </c>
    </row>
    <row r="21" spans="1:1" x14ac:dyDescent="0.3">
      <c r="A21" s="144" t="s">
        <v>17</v>
      </c>
    </row>
    <row r="22" spans="1:1" x14ac:dyDescent="0.3">
      <c r="A22" s="142" t="s">
        <v>18</v>
      </c>
    </row>
    <row r="23" spans="1:1" x14ac:dyDescent="0.3">
      <c r="A23" s="142" t="s">
        <v>19</v>
      </c>
    </row>
    <row r="24" spans="1:1" x14ac:dyDescent="0.3">
      <c r="A24" s="142" t="s">
        <v>20</v>
      </c>
    </row>
    <row r="25" spans="1:1" x14ac:dyDescent="0.3">
      <c r="A25" s="142" t="s">
        <v>21</v>
      </c>
    </row>
    <row r="26" spans="1:1" x14ac:dyDescent="0.3">
      <c r="A26" s="142" t="s">
        <v>22</v>
      </c>
    </row>
    <row r="27" spans="1:1" x14ac:dyDescent="0.3">
      <c r="A27" s="142" t="s">
        <v>23</v>
      </c>
    </row>
    <row r="28" spans="1:1" x14ac:dyDescent="0.3">
      <c r="A28" s="142" t="s">
        <v>24</v>
      </c>
    </row>
    <row r="29" spans="1:1" x14ac:dyDescent="0.3">
      <c r="A29" s="142" t="s">
        <v>25</v>
      </c>
    </row>
    <row r="30" spans="1:1" x14ac:dyDescent="0.3">
      <c r="A30" s="142" t="s">
        <v>26</v>
      </c>
    </row>
    <row r="31" spans="1:1" x14ac:dyDescent="0.3">
      <c r="A31" s="142" t="s">
        <v>27</v>
      </c>
    </row>
    <row r="32" spans="1:1" x14ac:dyDescent="0.3">
      <c r="A32" s="142" t="s">
        <v>28</v>
      </c>
    </row>
    <row r="33" spans="1:1" x14ac:dyDescent="0.3">
      <c r="A33" s="142" t="s">
        <v>29</v>
      </c>
    </row>
    <row r="34" spans="1:1" x14ac:dyDescent="0.3">
      <c r="A34" s="142" t="s">
        <v>30</v>
      </c>
    </row>
    <row r="35" spans="1:1" x14ac:dyDescent="0.3">
      <c r="A35" s="142" t="s">
        <v>31</v>
      </c>
    </row>
    <row r="36" spans="1:1" x14ac:dyDescent="0.3">
      <c r="A36" s="143" t="s">
        <v>32</v>
      </c>
    </row>
    <row r="37" spans="1:1" x14ac:dyDescent="0.3">
      <c r="A37" s="142" t="s">
        <v>33</v>
      </c>
    </row>
    <row r="38" spans="1:1" x14ac:dyDescent="0.3">
      <c r="A38" s="143" t="s">
        <v>34</v>
      </c>
    </row>
    <row r="39" spans="1:1" x14ac:dyDescent="0.3">
      <c r="A39" s="142" t="s">
        <v>35</v>
      </c>
    </row>
    <row r="40" spans="1:1" x14ac:dyDescent="0.3">
      <c r="A40" s="142"/>
    </row>
    <row r="41" spans="1:1" x14ac:dyDescent="0.3">
      <c r="A41" s="142"/>
    </row>
    <row r="42" spans="1:1" x14ac:dyDescent="0.3">
      <c r="A42" s="142"/>
    </row>
    <row r="43" spans="1:1" x14ac:dyDescent="0.3">
      <c r="A43" s="142"/>
    </row>
    <row r="44" spans="1:1" x14ac:dyDescent="0.3">
      <c r="A44" s="142"/>
    </row>
    <row r="45" spans="1:1" x14ac:dyDescent="0.3">
      <c r="A45" s="142"/>
    </row>
    <row r="46" spans="1:1" x14ac:dyDescent="0.3">
      <c r="A46" s="142"/>
    </row>
    <row r="47" spans="1:1" x14ac:dyDescent="0.3">
      <c r="A47" s="142"/>
    </row>
    <row r="48" spans="1:1" x14ac:dyDescent="0.3">
      <c r="A48" s="147" t="s">
        <v>36</v>
      </c>
    </row>
  </sheetData>
  <phoneticPr fontId="56" type="noConversion"/>
  <pageMargins left="0.70866141732283472" right="0.70866141732283472" top="0.74803149606299213" bottom="0.74803149606299213" header="0.31496062992125984" footer="0.31496062992125984"/>
  <pageSetup paperSize="9" scale="7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46"/>
  <sheetViews>
    <sheetView showGridLines="0" topLeftCell="A12" zoomScale="90" zoomScaleNormal="90" workbookViewId="0">
      <selection activeCell="B5" sqref="B5:F31"/>
    </sheetView>
  </sheetViews>
  <sheetFormatPr defaultColWidth="9.296875" defaultRowHeight="13" x14ac:dyDescent="0.3"/>
  <cols>
    <col min="1" max="1" width="43.796875" style="399" customWidth="1"/>
    <col min="2" max="5" width="10.796875" style="399" customWidth="1"/>
    <col min="6" max="6" width="9.5" style="399" bestFit="1" customWidth="1"/>
    <col min="7" max="7" width="10.796875" style="399" customWidth="1"/>
    <col min="8" max="8" width="9.296875" style="399" customWidth="1"/>
    <col min="9" max="10" width="9.296875" style="399"/>
    <col min="11" max="11" width="7.19921875" style="399" customWidth="1"/>
    <col min="12" max="16384" width="9.296875" style="399"/>
  </cols>
  <sheetData>
    <row r="1" spans="1:8" ht="15.5" x14ac:dyDescent="0.35">
      <c r="B1" s="590"/>
      <c r="C1" s="590"/>
      <c r="D1" s="590"/>
      <c r="E1" s="590"/>
      <c r="F1" s="590"/>
      <c r="G1" s="590"/>
    </row>
    <row r="2" spans="1:8" ht="21.75" customHeight="1" x14ac:dyDescent="0.3">
      <c r="A2" s="582" t="s">
        <v>325</v>
      </c>
      <c r="B2" s="589" t="s">
        <v>324</v>
      </c>
      <c r="C2" s="589" t="s">
        <v>326</v>
      </c>
      <c r="D2" s="589" t="s">
        <v>327</v>
      </c>
      <c r="E2" s="589" t="s">
        <v>2252</v>
      </c>
      <c r="F2" s="589" t="s">
        <v>2267</v>
      </c>
      <c r="G2" s="589"/>
      <c r="H2" s="574" t="s">
        <v>328</v>
      </c>
    </row>
    <row r="3" spans="1:8" ht="21.75" customHeight="1" x14ac:dyDescent="0.3">
      <c r="A3" s="582"/>
      <c r="B3" s="589" t="s">
        <v>39</v>
      </c>
      <c r="C3" s="589" t="s">
        <v>40</v>
      </c>
      <c r="D3" s="589" t="s">
        <v>40</v>
      </c>
      <c r="E3" s="589" t="s">
        <v>2253</v>
      </c>
      <c r="F3" s="589" t="s">
        <v>2253</v>
      </c>
      <c r="G3" s="589"/>
      <c r="H3" s="574"/>
    </row>
    <row r="4" spans="1:8" ht="15" customHeight="1" x14ac:dyDescent="0.3">
      <c r="A4" s="582" t="s">
        <v>329</v>
      </c>
      <c r="B4" s="589" t="s">
        <v>330</v>
      </c>
      <c r="C4" s="589" t="s">
        <v>330</v>
      </c>
      <c r="D4" s="589" t="s">
        <v>330</v>
      </c>
      <c r="E4" s="589" t="s">
        <v>330</v>
      </c>
      <c r="F4" s="589" t="s">
        <v>330</v>
      </c>
      <c r="G4" s="589"/>
      <c r="H4" s="574" t="s">
        <v>331</v>
      </c>
    </row>
    <row r="5" spans="1:8" ht="15.75" customHeight="1" x14ac:dyDescent="0.3">
      <c r="A5" s="583" t="str">
        <f>+'2026-2027 Revenue Budget'!A18</f>
        <v>Employees</v>
      </c>
      <c r="B5" s="587">
        <v>955.23003000000006</v>
      </c>
      <c r="C5" s="587">
        <v>1069.6579999999999</v>
      </c>
      <c r="D5" s="587">
        <v>1146.3352110935496</v>
      </c>
      <c r="E5" s="587">
        <v>1169.2619153154205</v>
      </c>
      <c r="F5" s="587">
        <v>1192.6471536217289</v>
      </c>
      <c r="G5" s="587"/>
      <c r="H5" s="578">
        <v>2</v>
      </c>
    </row>
    <row r="6" spans="1:8" ht="15" customHeight="1" x14ac:dyDescent="0.3">
      <c r="A6" s="583" t="str">
        <f>+'2026-2027 Revenue Budget'!A19</f>
        <v>External Payments</v>
      </c>
      <c r="B6" s="587">
        <v>585.05216000000007</v>
      </c>
      <c r="C6" s="587">
        <v>610.53599999999994</v>
      </c>
      <c r="D6" s="587">
        <v>802.97904319999998</v>
      </c>
      <c r="E6" s="587">
        <v>819.03862406400003</v>
      </c>
      <c r="F6" s="587">
        <v>835.41939654528005</v>
      </c>
      <c r="G6" s="587"/>
      <c r="H6" s="578">
        <v>2</v>
      </c>
    </row>
    <row r="7" spans="1:8" ht="15" customHeight="1" x14ac:dyDescent="0.3">
      <c r="A7" s="583" t="str">
        <f>+'2026-2027 Revenue Budget'!A20</f>
        <v xml:space="preserve">Transfers to Earmarked </v>
      </c>
      <c r="B7" s="587">
        <v>340.6</v>
      </c>
      <c r="C7" s="587">
        <v>343.58199999999999</v>
      </c>
      <c r="D7" s="587">
        <v>331.5</v>
      </c>
      <c r="E7" s="587">
        <v>353</v>
      </c>
      <c r="F7" s="587">
        <v>360.06</v>
      </c>
      <c r="G7" s="587"/>
      <c r="H7" s="578">
        <v>2</v>
      </c>
    </row>
    <row r="8" spans="1:8" ht="15" customHeight="1" x14ac:dyDescent="0.3">
      <c r="A8" s="583" t="str">
        <f>+'2026-2027 Revenue Budget'!A21</f>
        <v>Capital Financing Costs</v>
      </c>
      <c r="B8" s="587">
        <v>16.104379999999999</v>
      </c>
      <c r="C8" s="587">
        <v>15.457000000000001</v>
      </c>
      <c r="D8" s="587">
        <v>14.809374999999999</v>
      </c>
      <c r="E8" s="587">
        <v>15.456875</v>
      </c>
      <c r="F8" s="587">
        <v>15.7660125</v>
      </c>
      <c r="G8" s="587"/>
      <c r="H8" s="578" t="s">
        <v>332</v>
      </c>
    </row>
    <row r="9" spans="1:8" ht="15" customHeight="1" x14ac:dyDescent="0.3">
      <c r="A9" s="583" t="str">
        <f>+'2026-2027 Revenue Budget'!A22</f>
        <v>Income</v>
      </c>
      <c r="B9" s="587">
        <v>-227.93916999999999</v>
      </c>
      <c r="C9" s="587">
        <v>-216.38499999999999</v>
      </c>
      <c r="D9" s="587">
        <v>-372.78497963000001</v>
      </c>
      <c r="E9" s="587">
        <v>-380.24067922260002</v>
      </c>
      <c r="F9" s="587">
        <v>-387.84549280705204</v>
      </c>
      <c r="G9" s="587"/>
      <c r="H9" s="578">
        <v>2</v>
      </c>
    </row>
    <row r="10" spans="1:8" ht="15.5" x14ac:dyDescent="0.3">
      <c r="A10" s="582" t="s">
        <v>49</v>
      </c>
      <c r="B10" s="588">
        <v>1669.0474000000004</v>
      </c>
      <c r="C10" s="588">
        <v>1822.848</v>
      </c>
      <c r="D10" s="588">
        <v>1922.8386496635492</v>
      </c>
      <c r="E10" s="588">
        <v>1976.5167351568205</v>
      </c>
      <c r="F10" s="588">
        <v>2016.0470698599572</v>
      </c>
      <c r="G10" s="588"/>
      <c r="H10" s="578"/>
    </row>
    <row r="11" spans="1:8" ht="15.5" x14ac:dyDescent="0.3">
      <c r="A11" s="583" t="s">
        <v>50</v>
      </c>
      <c r="B11" s="587">
        <v>1701.8431290000001</v>
      </c>
      <c r="C11" s="587">
        <v>1822.9389438600001</v>
      </c>
      <c r="D11" s="587">
        <v>1913.8419629388</v>
      </c>
      <c r="E11" s="587">
        <v>1952.1188021975763</v>
      </c>
      <c r="F11" s="587">
        <v>1991.1611782415278</v>
      </c>
      <c r="G11" s="587"/>
      <c r="H11" s="578"/>
    </row>
    <row r="12" spans="1:8" ht="12.75" customHeight="1" x14ac:dyDescent="0.3">
      <c r="A12" s="582" t="str">
        <f>+'2026-2027 Revenue Budget'!A15</f>
        <v>Transfer to General Reserves</v>
      </c>
      <c r="B12" s="588">
        <v>32.79572899999971</v>
      </c>
      <c r="C12" s="588">
        <v>9.0943860000152199E-2</v>
      </c>
      <c r="D12" s="588">
        <v>-8.9966867247492246</v>
      </c>
      <c r="E12" s="588">
        <v>-24.397932959244145</v>
      </c>
      <c r="F12" s="588">
        <v>-24.885891618429469</v>
      </c>
      <c r="G12" s="588"/>
      <c r="H12" s="576"/>
    </row>
    <row r="13" spans="1:8" ht="5.25" customHeight="1" x14ac:dyDescent="0.3">
      <c r="A13" s="582"/>
      <c r="B13" s="587"/>
      <c r="C13" s="587"/>
      <c r="D13" s="587"/>
      <c r="E13" s="587"/>
      <c r="F13" s="587"/>
      <c r="G13" s="587"/>
      <c r="H13" s="576"/>
    </row>
    <row r="14" spans="1:8" ht="12.75" customHeight="1" x14ac:dyDescent="0.3">
      <c r="A14" s="582" t="s">
        <v>59</v>
      </c>
      <c r="B14" s="587"/>
      <c r="C14" s="587"/>
      <c r="D14" s="587"/>
      <c r="E14" s="587"/>
      <c r="F14" s="587"/>
      <c r="G14" s="587"/>
      <c r="H14" s="576"/>
    </row>
    <row r="15" spans="1:8" ht="15.5" x14ac:dyDescent="0.3">
      <c r="A15" s="583" t="str">
        <f>+'2026-2027 Revenue Budget'!A27</f>
        <v xml:space="preserve">Opening Balance at 1 April </v>
      </c>
      <c r="B15" s="587">
        <v>132</v>
      </c>
      <c r="C15" s="587">
        <v>132.79572899999971</v>
      </c>
      <c r="D15" s="587">
        <v>100</v>
      </c>
      <c r="E15" s="587">
        <v>100</v>
      </c>
      <c r="F15" s="587">
        <v>100</v>
      </c>
      <c r="G15" s="587"/>
      <c r="H15" s="576"/>
    </row>
    <row r="16" spans="1:8" ht="15.5" x14ac:dyDescent="0.3">
      <c r="A16" s="583" t="s">
        <v>333</v>
      </c>
      <c r="B16" s="587">
        <v>0</v>
      </c>
      <c r="C16" s="587">
        <v>0</v>
      </c>
      <c r="D16" s="587">
        <v>0</v>
      </c>
      <c r="E16" s="587">
        <v>0</v>
      </c>
      <c r="F16" s="587">
        <v>0</v>
      </c>
      <c r="G16" s="587"/>
      <c r="H16" s="576"/>
    </row>
    <row r="17" spans="1:8" ht="15.5" x14ac:dyDescent="0.3">
      <c r="A17" s="583" t="s">
        <v>334</v>
      </c>
      <c r="B17" s="587">
        <v>32</v>
      </c>
      <c r="C17" s="587">
        <v>32.79572899999971</v>
      </c>
      <c r="D17" s="587">
        <v>0</v>
      </c>
      <c r="E17" s="587">
        <v>0</v>
      </c>
      <c r="F17" s="587">
        <v>0</v>
      </c>
      <c r="G17" s="587"/>
      <c r="H17" s="578"/>
    </row>
    <row r="18" spans="1:8" s="403" customFormat="1" ht="15.5" x14ac:dyDescent="0.3">
      <c r="A18" s="582" t="str">
        <f>+'2026-2027 Revenue Budget'!A30</f>
        <v>Closing Balance at 31 March</v>
      </c>
      <c r="B18" s="588">
        <v>100</v>
      </c>
      <c r="C18" s="588">
        <v>100</v>
      </c>
      <c r="D18" s="588">
        <v>100</v>
      </c>
      <c r="E18" s="588">
        <v>100</v>
      </c>
      <c r="F18" s="588">
        <v>100</v>
      </c>
      <c r="G18" s="588"/>
      <c r="H18" s="579"/>
    </row>
    <row r="19" spans="1:8" ht="4.5" customHeight="1" x14ac:dyDescent="0.3">
      <c r="A19" s="582"/>
      <c r="B19" s="588"/>
      <c r="C19" s="588"/>
      <c r="D19" s="588"/>
      <c r="E19" s="588"/>
      <c r="F19" s="588"/>
      <c r="G19" s="588"/>
      <c r="H19" s="576"/>
    </row>
    <row r="20" spans="1:8" ht="13.5" customHeight="1" x14ac:dyDescent="0.3">
      <c r="A20" s="582" t="s">
        <v>64</v>
      </c>
      <c r="B20" s="587"/>
      <c r="C20" s="587"/>
      <c r="D20" s="587"/>
      <c r="E20" s="587"/>
      <c r="F20" s="587"/>
      <c r="G20" s="587"/>
      <c r="H20" s="576"/>
    </row>
    <row r="21" spans="1:8" ht="15.5" x14ac:dyDescent="0.3">
      <c r="A21" s="583" t="str">
        <f>+'2026-2027 Revenue Budget'!A33</f>
        <v xml:space="preserve">Opening Balance at 1 April </v>
      </c>
      <c r="B21" s="587">
        <v>1488.3835300000003</v>
      </c>
      <c r="C21" s="587">
        <v>1605.06205</v>
      </c>
      <c r="D21" s="587">
        <v>1576.5036200000002</v>
      </c>
      <c r="E21" s="587">
        <v>1085.9836200000002</v>
      </c>
      <c r="F21" s="587">
        <v>1138.9836200000002</v>
      </c>
      <c r="G21" s="587"/>
      <c r="H21" s="576"/>
    </row>
    <row r="22" spans="1:8" ht="15.5" x14ac:dyDescent="0.3">
      <c r="A22" s="583" t="s">
        <v>335</v>
      </c>
      <c r="B22" s="587">
        <v>869.14597000000003</v>
      </c>
      <c r="C22" s="587">
        <v>447.48099999999999</v>
      </c>
      <c r="D22" s="587">
        <v>334.5</v>
      </c>
      <c r="E22" s="587">
        <v>353</v>
      </c>
      <c r="F22" s="587">
        <v>360.06</v>
      </c>
      <c r="G22" s="587"/>
      <c r="H22" s="576"/>
    </row>
    <row r="23" spans="1:8" ht="15.5" x14ac:dyDescent="0.3">
      <c r="A23" s="583" t="s">
        <v>336</v>
      </c>
      <c r="B23" s="587">
        <v>752.46606000000008</v>
      </c>
      <c r="C23" s="587">
        <v>476.03942999999998</v>
      </c>
      <c r="D23" s="587">
        <v>825.02</v>
      </c>
      <c r="E23" s="587">
        <v>400</v>
      </c>
      <c r="F23" s="587">
        <v>200</v>
      </c>
      <c r="G23" s="587"/>
      <c r="H23" s="576"/>
    </row>
    <row r="24" spans="1:8" s="403" customFormat="1" ht="15.5" x14ac:dyDescent="0.3">
      <c r="A24" s="582" t="str">
        <f>+'2026-2027 Revenue Budget'!A37</f>
        <v xml:space="preserve">Closing Balance 31 March </v>
      </c>
      <c r="B24" s="588">
        <v>1605.0634400000004</v>
      </c>
      <c r="C24" s="588">
        <v>1576.5036200000002</v>
      </c>
      <c r="D24" s="588">
        <v>1085.9836200000002</v>
      </c>
      <c r="E24" s="588">
        <v>1038.9836200000002</v>
      </c>
      <c r="F24" s="588">
        <v>1299.0436200000001</v>
      </c>
      <c r="G24" s="588"/>
      <c r="H24" s="579"/>
    </row>
    <row r="25" spans="1:8" ht="3.75" customHeight="1" x14ac:dyDescent="0.3">
      <c r="A25" s="583"/>
      <c r="B25" s="587"/>
      <c r="C25" s="587"/>
      <c r="D25" s="587"/>
      <c r="E25" s="587"/>
      <c r="F25" s="587"/>
      <c r="G25" s="587"/>
      <c r="H25" s="576"/>
    </row>
    <row r="26" spans="1:8" s="403" customFormat="1" ht="14.25" customHeight="1" x14ac:dyDescent="0.3">
      <c r="A26" s="582" t="str">
        <f>+'2026-2027 Revenue Budget'!A39</f>
        <v>All Reserves held at year end</v>
      </c>
      <c r="B26" s="588">
        <v>1705.0634400000004</v>
      </c>
      <c r="C26" s="588">
        <v>1676.5036200000002</v>
      </c>
      <c r="D26" s="588">
        <v>1185.9836200000002</v>
      </c>
      <c r="E26" s="588">
        <v>1138.9836200000002</v>
      </c>
      <c r="F26" s="588">
        <v>1399.0436200000001</v>
      </c>
      <c r="G26" s="588"/>
      <c r="H26" s="579"/>
    </row>
    <row r="27" spans="1:8" ht="15.5" x14ac:dyDescent="0.3">
      <c r="A27" s="583" t="s">
        <v>337</v>
      </c>
      <c r="B27" s="721">
        <v>755</v>
      </c>
      <c r="C27" s="721">
        <v>755</v>
      </c>
      <c r="D27" s="721">
        <v>505</v>
      </c>
      <c r="E27" s="721">
        <v>255</v>
      </c>
      <c r="F27" s="587">
        <v>255</v>
      </c>
      <c r="G27" s="587"/>
      <c r="H27" s="576"/>
    </row>
    <row r="28" spans="1:8" s="403" customFormat="1" ht="7.5" customHeight="1" x14ac:dyDescent="0.3">
      <c r="A28" s="582"/>
      <c r="B28" s="588"/>
      <c r="C28" s="588"/>
      <c r="D28" s="588"/>
      <c r="E28" s="588"/>
      <c r="F28" s="588"/>
      <c r="G28" s="588"/>
      <c r="H28" s="579"/>
    </row>
    <row r="29" spans="1:8" ht="14.25" customHeight="1" x14ac:dyDescent="0.3">
      <c r="A29" s="583" t="s">
        <v>338</v>
      </c>
      <c r="B29" s="598">
        <v>56</v>
      </c>
      <c r="C29" s="598">
        <v>42</v>
      </c>
      <c r="D29" s="598">
        <v>28</v>
      </c>
      <c r="E29" s="598">
        <v>14</v>
      </c>
      <c r="F29" s="598">
        <v>0</v>
      </c>
      <c r="G29" s="598"/>
      <c r="H29" s="576"/>
    </row>
    <row r="30" spans="1:8" s="403" customFormat="1" ht="15.5" x14ac:dyDescent="0.3">
      <c r="A30" s="583" t="s">
        <v>339</v>
      </c>
      <c r="B30" s="598">
        <v>210.33</v>
      </c>
      <c r="C30" s="598">
        <v>214.53659999999999</v>
      </c>
      <c r="D30" s="598">
        <v>218.82733200000001</v>
      </c>
      <c r="E30" s="598">
        <v>223.20387864000003</v>
      </c>
      <c r="F30" s="598">
        <v>227.66795621280002</v>
      </c>
      <c r="G30" s="598"/>
      <c r="H30" s="579"/>
    </row>
    <row r="31" spans="1:8" s="403" customFormat="1" ht="15.5" x14ac:dyDescent="0.3">
      <c r="A31" s="583" t="s">
        <v>70</v>
      </c>
      <c r="B31" s="587">
        <v>8091.3</v>
      </c>
      <c r="C31" s="587">
        <v>8497.1</v>
      </c>
      <c r="D31" s="587">
        <v>8745.9</v>
      </c>
      <c r="E31" s="587">
        <v>8745.9</v>
      </c>
      <c r="F31" s="587">
        <v>8745.9</v>
      </c>
      <c r="G31" s="587"/>
      <c r="H31" s="605"/>
    </row>
    <row r="32" spans="1:8" s="403" customFormat="1" ht="15.5" x14ac:dyDescent="0.3">
      <c r="A32" s="583"/>
      <c r="B32" s="587"/>
      <c r="C32" s="587"/>
      <c r="D32" s="587"/>
      <c r="E32" s="587"/>
      <c r="F32" s="587"/>
      <c r="G32" s="587"/>
      <c r="H32" s="605"/>
    </row>
    <row r="33" spans="1:8" s="403" customFormat="1" ht="14.25" customHeight="1" x14ac:dyDescent="0.3">
      <c r="A33" s="583" t="s">
        <v>340</v>
      </c>
      <c r="B33" s="584"/>
      <c r="C33" s="584"/>
      <c r="D33" s="584"/>
      <c r="E33" s="584"/>
      <c r="F33" s="584"/>
      <c r="G33" s="584"/>
      <c r="H33" s="579"/>
    </row>
    <row r="34" spans="1:8" s="403" customFormat="1" ht="15.5" x14ac:dyDescent="0.3">
      <c r="A34" s="585" t="s">
        <v>2254</v>
      </c>
      <c r="B34" s="584"/>
      <c r="C34" s="584"/>
      <c r="D34" s="584"/>
      <c r="E34" s="584"/>
      <c r="F34" s="584"/>
      <c r="G34" s="584"/>
      <c r="H34" s="579"/>
    </row>
    <row r="35" spans="1:8" s="403" customFormat="1" ht="15.5" x14ac:dyDescent="0.3">
      <c r="A35" s="585" t="s">
        <v>2268</v>
      </c>
      <c r="B35" s="584"/>
      <c r="C35" s="584"/>
      <c r="D35" s="584"/>
      <c r="E35" s="584"/>
      <c r="F35" s="584"/>
      <c r="G35" s="584"/>
      <c r="H35" s="579"/>
    </row>
    <row r="36" spans="1:8" s="403" customFormat="1" ht="15.5" x14ac:dyDescent="0.3">
      <c r="A36" s="585" t="s">
        <v>2255</v>
      </c>
      <c r="B36" s="584"/>
      <c r="C36" s="584"/>
      <c r="D36" s="584"/>
      <c r="E36" s="584"/>
      <c r="F36" s="584"/>
      <c r="G36" s="584"/>
      <c r="H36" s="579"/>
    </row>
    <row r="37" spans="1:8" s="403" customFormat="1" ht="15.5" x14ac:dyDescent="0.3">
      <c r="A37" s="585" t="s">
        <v>2256</v>
      </c>
      <c r="B37" s="584"/>
      <c r="C37" s="584"/>
      <c r="D37" s="584"/>
      <c r="E37" s="584"/>
      <c r="F37" s="584"/>
      <c r="G37" s="584"/>
      <c r="H37" s="579"/>
    </row>
    <row r="38" spans="1:8" s="403" customFormat="1" ht="15.5" x14ac:dyDescent="0.3">
      <c r="A38" s="585" t="s">
        <v>2257</v>
      </c>
      <c r="B38" s="584"/>
      <c r="C38" s="584"/>
      <c r="D38" s="584"/>
      <c r="E38" s="584"/>
      <c r="F38" s="584"/>
      <c r="G38" s="584"/>
      <c r="H38" s="579"/>
    </row>
    <row r="39" spans="1:8" s="403" customFormat="1" ht="15.5" x14ac:dyDescent="0.3">
      <c r="A39" s="583" t="s">
        <v>2258</v>
      </c>
      <c r="B39" s="584"/>
      <c r="C39" s="584"/>
      <c r="D39" s="584"/>
      <c r="E39" s="584"/>
      <c r="F39" s="584"/>
      <c r="G39" s="584"/>
      <c r="H39" s="579"/>
    </row>
    <row r="40" spans="1:8" s="403" customFormat="1" ht="15.5" x14ac:dyDescent="0.3">
      <c r="A40" s="586" t="s">
        <v>2259</v>
      </c>
      <c r="B40" s="584"/>
      <c r="C40" s="584"/>
      <c r="D40" s="584"/>
      <c r="E40" s="584"/>
      <c r="F40" s="584"/>
      <c r="G40" s="584"/>
      <c r="H40" s="579"/>
    </row>
    <row r="41" spans="1:8" s="403" customFormat="1" ht="15.5" x14ac:dyDescent="0.3">
      <c r="A41" s="586"/>
      <c r="B41" s="584"/>
      <c r="C41" s="584"/>
      <c r="D41" s="584"/>
      <c r="E41" s="584"/>
      <c r="F41" s="584"/>
      <c r="G41" s="584"/>
      <c r="H41" s="579"/>
    </row>
    <row r="42" spans="1:8" s="403" customFormat="1" ht="15.5" x14ac:dyDescent="0.3">
      <c r="A42" s="582"/>
      <c r="B42" s="584"/>
      <c r="C42" s="584"/>
      <c r="D42" s="584"/>
      <c r="E42" s="584"/>
      <c r="F42" s="584"/>
      <c r="G42" s="584"/>
      <c r="H42" s="579"/>
    </row>
    <row r="43" spans="1:8" s="403" customFormat="1" ht="15.5" x14ac:dyDescent="0.3">
      <c r="A43" s="582"/>
      <c r="B43" s="584"/>
      <c r="C43" s="584"/>
      <c r="D43" s="584"/>
      <c r="E43" s="584"/>
      <c r="F43" s="584"/>
      <c r="G43" s="584"/>
      <c r="H43" s="579"/>
    </row>
    <row r="44" spans="1:8" s="403" customFormat="1" ht="15.5" x14ac:dyDescent="0.3">
      <c r="A44" s="582"/>
      <c r="B44" s="584"/>
      <c r="C44" s="584"/>
      <c r="D44" s="584"/>
      <c r="E44" s="584"/>
      <c r="F44" s="584"/>
      <c r="G44" s="584"/>
      <c r="H44" s="579"/>
    </row>
    <row r="45" spans="1:8" s="403" customFormat="1" ht="15.5" x14ac:dyDescent="0.3">
      <c r="A45" s="582"/>
      <c r="B45" s="584"/>
      <c r="C45" s="584"/>
      <c r="D45" s="584"/>
      <c r="E45" s="584"/>
      <c r="F45" s="584"/>
      <c r="G45" s="584"/>
      <c r="H45" s="579"/>
    </row>
    <row r="46" spans="1:8" ht="14.5" x14ac:dyDescent="0.3">
      <c r="A46" s="577"/>
      <c r="B46" s="575"/>
      <c r="C46" s="575"/>
      <c r="D46" s="575"/>
      <c r="E46" s="575"/>
      <c r="F46" s="575"/>
      <c r="G46" s="575"/>
      <c r="H46" s="576"/>
    </row>
  </sheetData>
  <pageMargins left="0.7" right="0.7" top="0.75" bottom="0.75" header="0.3" footer="0.3"/>
  <pageSetup paperSize="9" orientation="portrait" r:id="rId1"/>
  <ignoredErrors>
    <ignoredError sqref="B4:E4"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filterMode="1">
    <tabColor rgb="FF0000FF"/>
    <pageSetUpPr fitToPage="1"/>
  </sheetPr>
  <dimension ref="A1:IV1624"/>
  <sheetViews>
    <sheetView topLeftCell="D1" zoomScale="80" zoomScaleNormal="80" zoomScaleSheetLayoutView="55" workbookViewId="0">
      <selection activeCell="F1" sqref="F1:F65536"/>
    </sheetView>
  </sheetViews>
  <sheetFormatPr defaultColWidth="9.296875" defaultRowHeight="12.5" x14ac:dyDescent="0.25"/>
  <cols>
    <col min="1" max="1" width="15.69921875" style="263" customWidth="1"/>
    <col min="2" max="2" width="53.69921875" style="263" customWidth="1"/>
    <col min="3" max="3" width="14.5" style="263" customWidth="1"/>
    <col min="4" max="4" width="14.796875" style="263" customWidth="1"/>
    <col min="5" max="5" width="11" style="264" customWidth="1"/>
    <col min="6" max="6" width="14.5" style="265" bestFit="1" customWidth="1"/>
    <col min="7" max="7" width="15.5" style="263" bestFit="1" customWidth="1"/>
    <col min="8" max="8" width="32" style="266" bestFit="1" customWidth="1"/>
    <col min="9" max="9" width="33.69921875" style="267" bestFit="1" customWidth="1"/>
    <col min="10" max="10" width="50.19921875" style="268" bestFit="1" customWidth="1"/>
    <col min="11" max="16384" width="9.296875" style="263"/>
  </cols>
  <sheetData>
    <row r="1" spans="1:256" x14ac:dyDescent="0.25">
      <c r="A1" s="262" t="s">
        <v>357</v>
      </c>
      <c r="F1" s="637"/>
    </row>
    <row r="2" spans="1:256" ht="13" x14ac:dyDescent="0.3">
      <c r="A2" s="269" t="s">
        <v>358</v>
      </c>
      <c r="C2" s="263">
        <f>SUM(C4:C642)</f>
        <v>2196041.3000000003</v>
      </c>
      <c r="D2" s="270">
        <f>SUM(D4:D642)</f>
        <v>2196041.2999999998</v>
      </c>
      <c r="E2" s="271"/>
      <c r="F2" s="637"/>
    </row>
    <row r="3" spans="1:256" ht="13" x14ac:dyDescent="0.3">
      <c r="A3" s="307" t="s">
        <v>359</v>
      </c>
      <c r="B3" s="307" t="s">
        <v>360</v>
      </c>
      <c r="C3" s="307" t="s">
        <v>361</v>
      </c>
      <c r="D3" s="307" t="s">
        <v>362</v>
      </c>
      <c r="E3" s="272" t="s">
        <v>363</v>
      </c>
      <c r="F3" s="273" t="s">
        <v>364</v>
      </c>
      <c r="G3" s="274" t="s">
        <v>365</v>
      </c>
      <c r="H3" s="275" t="s">
        <v>366</v>
      </c>
      <c r="I3" s="276" t="s">
        <v>367</v>
      </c>
      <c r="J3" s="277" t="s">
        <v>368</v>
      </c>
    </row>
    <row r="4" spans="1:256" ht="15" hidden="1" customHeight="1" x14ac:dyDescent="0.3">
      <c r="A4" s="638">
        <v>14150262</v>
      </c>
      <c r="B4" s="638" t="s">
        <v>369</v>
      </c>
      <c r="C4" s="311"/>
      <c r="D4" s="638">
        <v>47.25</v>
      </c>
      <c r="E4" s="305">
        <f>SUMIF(Adjustments!A:A,A4,Adjustments!C:C)</f>
        <v>0</v>
      </c>
      <c r="F4" s="278">
        <f>C4-D4+E4</f>
        <v>-47.25</v>
      </c>
      <c r="G4" s="263" t="str">
        <f>VLOOKUP('Trial Balance'!$A4,'Code Allocation'!$A:$D,3,0)</f>
        <v>CRA</v>
      </c>
      <c r="H4" s="266" t="str">
        <f>VLOOKUP('Trial Balance'!$A4,'Code Allocation'!$A:$D,4,0)</f>
        <v>Allotments</v>
      </c>
      <c r="I4" s="267" t="str">
        <f>VLOOKUP('Trial Balance'!$A4,'Code Allocation'!$A:$E,5,0)</f>
        <v>Customer &amp; Client Receipts</v>
      </c>
      <c r="J4" s="268" t="str">
        <f>VLOOKUP('Trial Balance'!$A4,'Code Allocation'!$A:$F,6,0)</f>
        <v>Rental Income</v>
      </c>
    </row>
    <row r="5" spans="1:256" ht="15" hidden="1" customHeight="1" x14ac:dyDescent="0.3">
      <c r="A5" s="638">
        <v>14150263</v>
      </c>
      <c r="B5" s="638" t="s">
        <v>370</v>
      </c>
      <c r="C5" s="311"/>
      <c r="D5" s="638">
        <v>15.75</v>
      </c>
      <c r="E5" s="305">
        <f>SUMIF(Adjustments!A:A,A5,Adjustments!C:C)</f>
        <v>0</v>
      </c>
      <c r="F5" s="278">
        <f>C5-D5+E5</f>
        <v>-15.75</v>
      </c>
      <c r="G5" s="263" t="str">
        <f>VLOOKUP('Trial Balance'!$A5,'Code Allocation'!$A:$D,3,0)</f>
        <v>CRA</v>
      </c>
      <c r="H5" s="266" t="str">
        <f>VLOOKUP('Trial Balance'!$A5,'Code Allocation'!$A:$D,4,0)</f>
        <v>Allotments</v>
      </c>
      <c r="I5" s="267" t="str">
        <f>VLOOKUP('Trial Balance'!$A5,'Code Allocation'!$A:$E,5,0)</f>
        <v>Customer &amp; Client Receipts</v>
      </c>
      <c r="J5" s="268" t="str">
        <f>VLOOKUP('Trial Balance'!$A5,'Code Allocation'!$A:$F,6,0)</f>
        <v>Rental Income</v>
      </c>
    </row>
    <row r="6" spans="1:256" ht="15" hidden="1" customHeight="1" x14ac:dyDescent="0.3">
      <c r="A6" s="638">
        <v>14150264</v>
      </c>
      <c r="B6" s="638" t="s">
        <v>371</v>
      </c>
      <c r="C6" s="311"/>
      <c r="D6" s="638">
        <v>15.5</v>
      </c>
      <c r="E6" s="305">
        <f>SUMIF(Adjustments!A:A,A6,Adjustments!C:C)</f>
        <v>0</v>
      </c>
      <c r="F6" s="278">
        <f t="shared" ref="F6:F106" si="0">C6-D6+E6</f>
        <v>-15.5</v>
      </c>
      <c r="G6" s="263" t="str">
        <f>VLOOKUP('Trial Balance'!$A6,'Code Allocation'!$A:$D,3,0)</f>
        <v>CRA</v>
      </c>
      <c r="H6" s="266" t="str">
        <f>VLOOKUP('Trial Balance'!$A6,'Code Allocation'!$A:$D,4,0)</f>
        <v>Allotments</v>
      </c>
      <c r="I6" s="267" t="str">
        <f>VLOOKUP('Trial Balance'!$A6,'Code Allocation'!$A:$E,5,0)</f>
        <v>Customer &amp; Client Receipts</v>
      </c>
      <c r="J6" s="268" t="str">
        <f>VLOOKUP('Trial Balance'!$A6,'Code Allocation'!$A:$F,6,0)</f>
        <v>Rental Income</v>
      </c>
    </row>
    <row r="7" spans="1:256" s="279" customFormat="1" ht="15" hidden="1" customHeight="1" x14ac:dyDescent="0.3">
      <c r="A7" s="638">
        <v>14150265</v>
      </c>
      <c r="B7" s="638" t="s">
        <v>372</v>
      </c>
      <c r="C7" s="311"/>
      <c r="D7" s="638">
        <v>78.75</v>
      </c>
      <c r="E7" s="305">
        <f>SUMIF(Adjustments!A:A,A7,Adjustments!C:C)</f>
        <v>0</v>
      </c>
      <c r="F7" s="278">
        <f t="shared" si="0"/>
        <v>-78.75</v>
      </c>
      <c r="G7" s="263" t="str">
        <f>VLOOKUP('Trial Balance'!$A7,'Code Allocation'!$A:$D,3,0)</f>
        <v>CRA</v>
      </c>
      <c r="H7" s="266" t="str">
        <f>VLOOKUP('Trial Balance'!$A7,'Code Allocation'!$A:$D,4,0)</f>
        <v>Allotments</v>
      </c>
      <c r="I7" s="267" t="str">
        <f>VLOOKUP('Trial Balance'!$A7,'Code Allocation'!$A:$E,5,0)</f>
        <v>Customer &amp; Client Receipts</v>
      </c>
      <c r="J7" s="268" t="str">
        <f>VLOOKUP('Trial Balance'!$A7,'Code Allocation'!$A:$F,6,0)</f>
        <v>Rental Income</v>
      </c>
      <c r="K7" s="263"/>
      <c r="L7" s="263"/>
      <c r="M7" s="263"/>
      <c r="N7" s="263"/>
      <c r="O7" s="263"/>
      <c r="P7" s="263"/>
      <c r="Q7" s="263"/>
      <c r="R7" s="263"/>
      <c r="S7" s="263"/>
      <c r="T7" s="263"/>
      <c r="U7" s="263"/>
      <c r="V7" s="263"/>
      <c r="W7" s="263"/>
      <c r="X7" s="263"/>
      <c r="Y7" s="263"/>
      <c r="Z7" s="263"/>
      <c r="AA7" s="263"/>
      <c r="AB7" s="263"/>
      <c r="AC7" s="263"/>
      <c r="AD7" s="263"/>
      <c r="AE7" s="263"/>
      <c r="AF7" s="263"/>
      <c r="AG7" s="263"/>
      <c r="AH7" s="263"/>
      <c r="AI7" s="263"/>
      <c r="AJ7" s="263"/>
      <c r="AK7" s="263"/>
      <c r="AL7" s="263"/>
      <c r="AM7" s="263"/>
      <c r="AN7" s="263"/>
      <c r="AO7" s="263"/>
      <c r="AP7" s="263"/>
      <c r="AQ7" s="263"/>
      <c r="AR7" s="263"/>
      <c r="AS7" s="263"/>
      <c r="AT7" s="263"/>
      <c r="AU7" s="263"/>
      <c r="AV7" s="263"/>
      <c r="AW7" s="263"/>
      <c r="AX7" s="263"/>
      <c r="AY7" s="263"/>
      <c r="AZ7" s="263"/>
      <c r="BA7" s="263"/>
      <c r="BB7" s="263"/>
      <c r="BC7" s="263"/>
      <c r="BD7" s="263"/>
      <c r="BE7" s="263"/>
      <c r="BF7" s="263"/>
      <c r="BG7" s="263"/>
      <c r="BH7" s="263"/>
      <c r="BI7" s="263"/>
      <c r="BJ7" s="263"/>
      <c r="BK7" s="263"/>
      <c r="BL7" s="263"/>
      <c r="BM7" s="263"/>
      <c r="BN7" s="263"/>
      <c r="BO7" s="263"/>
      <c r="BP7" s="263"/>
      <c r="BQ7" s="263"/>
      <c r="BR7" s="263"/>
      <c r="BS7" s="263"/>
      <c r="BT7" s="263"/>
      <c r="BU7" s="263"/>
      <c r="BV7" s="263"/>
      <c r="BW7" s="263"/>
      <c r="BX7" s="263"/>
      <c r="BY7" s="263"/>
      <c r="BZ7" s="263"/>
      <c r="CA7" s="263"/>
      <c r="CB7" s="263"/>
      <c r="CC7" s="263"/>
      <c r="CD7" s="263"/>
      <c r="CE7" s="263"/>
      <c r="CF7" s="263"/>
      <c r="CG7" s="263"/>
      <c r="CH7" s="263"/>
      <c r="CI7" s="263"/>
      <c r="CJ7" s="263"/>
      <c r="CK7" s="263"/>
      <c r="CL7" s="263"/>
      <c r="CM7" s="263"/>
      <c r="CN7" s="263"/>
      <c r="CO7" s="263"/>
      <c r="CP7" s="263"/>
      <c r="CQ7" s="263"/>
      <c r="CR7" s="263"/>
      <c r="CS7" s="263"/>
      <c r="CT7" s="263"/>
      <c r="CU7" s="263"/>
      <c r="CV7" s="263"/>
      <c r="CW7" s="263"/>
      <c r="CX7" s="263"/>
      <c r="CY7" s="263"/>
      <c r="CZ7" s="263"/>
      <c r="DA7" s="263"/>
      <c r="DB7" s="263"/>
      <c r="DC7" s="263"/>
      <c r="DD7" s="263"/>
      <c r="DE7" s="263"/>
      <c r="DF7" s="263"/>
      <c r="DG7" s="263"/>
      <c r="DH7" s="263"/>
      <c r="DI7" s="263"/>
      <c r="DJ7" s="263"/>
      <c r="DK7" s="263"/>
      <c r="DL7" s="263"/>
      <c r="DM7" s="263"/>
      <c r="DN7" s="263"/>
      <c r="DO7" s="263"/>
      <c r="DP7" s="263"/>
      <c r="DQ7" s="263"/>
      <c r="DR7" s="263"/>
      <c r="DS7" s="263"/>
      <c r="DT7" s="263"/>
      <c r="DU7" s="263"/>
      <c r="DV7" s="263"/>
      <c r="DW7" s="263"/>
      <c r="DX7" s="263"/>
      <c r="DY7" s="263"/>
      <c r="DZ7" s="263"/>
      <c r="EA7" s="263"/>
      <c r="EB7" s="263"/>
      <c r="EC7" s="263"/>
      <c r="ED7" s="263"/>
      <c r="EE7" s="263"/>
      <c r="EF7" s="263"/>
      <c r="EG7" s="263"/>
      <c r="EH7" s="263"/>
      <c r="EI7" s="263"/>
      <c r="EJ7" s="263"/>
      <c r="EK7" s="263"/>
      <c r="EL7" s="263"/>
      <c r="EM7" s="263"/>
      <c r="EN7" s="263"/>
      <c r="EO7" s="263"/>
      <c r="EP7" s="263"/>
      <c r="EQ7" s="263"/>
      <c r="ER7" s="263"/>
      <c r="ES7" s="263"/>
      <c r="ET7" s="263"/>
      <c r="EU7" s="263"/>
      <c r="EV7" s="263"/>
      <c r="EW7" s="263"/>
      <c r="EX7" s="263"/>
      <c r="EY7" s="263"/>
      <c r="EZ7" s="263"/>
      <c r="FA7" s="263"/>
      <c r="FB7" s="263"/>
      <c r="FC7" s="263"/>
      <c r="FD7" s="263"/>
      <c r="FE7" s="263"/>
      <c r="FF7" s="263"/>
      <c r="FG7" s="263"/>
      <c r="FH7" s="263"/>
      <c r="FI7" s="263"/>
      <c r="FJ7" s="263"/>
      <c r="FK7" s="263"/>
      <c r="FL7" s="263"/>
      <c r="FM7" s="263"/>
      <c r="FN7" s="263"/>
      <c r="FO7" s="263"/>
      <c r="FP7" s="263"/>
      <c r="FQ7" s="263"/>
      <c r="FR7" s="263"/>
      <c r="FS7" s="263"/>
      <c r="FT7" s="263"/>
      <c r="FU7" s="263"/>
      <c r="FV7" s="263"/>
      <c r="FW7" s="263"/>
      <c r="FX7" s="263"/>
      <c r="FY7" s="263"/>
      <c r="FZ7" s="263"/>
      <c r="GA7" s="263"/>
      <c r="GB7" s="263"/>
      <c r="GC7" s="263"/>
      <c r="GD7" s="263"/>
      <c r="GE7" s="263"/>
      <c r="GF7" s="263"/>
      <c r="GG7" s="263"/>
      <c r="GH7" s="263"/>
      <c r="GI7" s="263"/>
      <c r="GJ7" s="263"/>
      <c r="GK7" s="263"/>
      <c r="GL7" s="263"/>
      <c r="GM7" s="263"/>
      <c r="GN7" s="263"/>
      <c r="GO7" s="263"/>
      <c r="GP7" s="263"/>
      <c r="GQ7" s="263"/>
      <c r="GR7" s="263"/>
      <c r="GS7" s="263"/>
      <c r="GT7" s="263"/>
      <c r="GU7" s="263"/>
      <c r="GV7" s="263"/>
      <c r="GW7" s="263"/>
      <c r="GX7" s="263"/>
      <c r="GY7" s="263"/>
      <c r="GZ7" s="263"/>
      <c r="HA7" s="263"/>
      <c r="HB7" s="263"/>
      <c r="HC7" s="263"/>
      <c r="HD7" s="263"/>
      <c r="HE7" s="263"/>
      <c r="HF7" s="263"/>
      <c r="HG7" s="263"/>
      <c r="HH7" s="263"/>
      <c r="HI7" s="263"/>
      <c r="HJ7" s="263"/>
      <c r="HK7" s="263"/>
      <c r="HL7" s="263"/>
      <c r="HM7" s="263"/>
      <c r="HN7" s="263"/>
      <c r="HO7" s="263"/>
      <c r="HP7" s="263"/>
      <c r="HQ7" s="263"/>
      <c r="HR7" s="263"/>
      <c r="HS7" s="263"/>
      <c r="HT7" s="263"/>
      <c r="HU7" s="263"/>
      <c r="HV7" s="263"/>
      <c r="HW7" s="263"/>
      <c r="HX7" s="263"/>
      <c r="HY7" s="263"/>
      <c r="HZ7" s="263"/>
      <c r="IA7" s="263"/>
      <c r="IB7" s="263"/>
      <c r="IC7" s="263"/>
      <c r="ID7" s="263"/>
      <c r="IE7" s="263"/>
      <c r="IF7" s="263"/>
      <c r="IG7" s="263"/>
      <c r="IH7" s="263"/>
      <c r="II7" s="263"/>
      <c r="IJ7" s="263"/>
      <c r="IK7" s="263"/>
      <c r="IL7" s="263"/>
      <c r="IM7" s="263"/>
      <c r="IN7" s="263"/>
      <c r="IO7" s="263"/>
      <c r="IP7" s="263"/>
      <c r="IQ7" s="263"/>
      <c r="IR7" s="263"/>
      <c r="IS7" s="263"/>
      <c r="IT7" s="263"/>
      <c r="IU7" s="263"/>
      <c r="IV7" s="263"/>
    </row>
    <row r="8" spans="1:256" s="279" customFormat="1" ht="15" hidden="1" customHeight="1" x14ac:dyDescent="0.3">
      <c r="A8" s="638">
        <v>17120160</v>
      </c>
      <c r="B8" s="638" t="s">
        <v>373</v>
      </c>
      <c r="C8" s="638">
        <v>301.75</v>
      </c>
      <c r="D8" s="311"/>
      <c r="E8" s="305">
        <f>SUMIF(Adjustments!A:A,A8,Adjustments!C:C)</f>
        <v>0</v>
      </c>
      <c r="F8" s="278">
        <f t="shared" si="0"/>
        <v>301.75</v>
      </c>
      <c r="G8" s="263" t="str">
        <f>VLOOKUP('Trial Balance'!$A8,'Code Allocation'!$A:$D,3,0)</f>
        <v>CRA</v>
      </c>
      <c r="H8" s="266" t="str">
        <f>VLOOKUP('Trial Balance'!$A8,'Code Allocation'!$A:$D,4,0)</f>
        <v>Allotments</v>
      </c>
      <c r="I8" s="267" t="str">
        <f>VLOOKUP('Trial Balance'!$A8,'Code Allocation'!$A:$E,5,0)</f>
        <v>Premises Related Expenses</v>
      </c>
      <c r="J8" s="268" t="str">
        <f>VLOOKUP('Trial Balance'!$A8,'Code Allocation'!$A:$F,6,0)</f>
        <v>Water</v>
      </c>
      <c r="K8" s="263"/>
      <c r="L8" s="263"/>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263"/>
      <c r="AL8" s="263"/>
      <c r="AM8" s="263"/>
      <c r="AN8" s="263"/>
      <c r="AO8" s="263"/>
      <c r="AP8" s="263"/>
      <c r="AQ8" s="263"/>
      <c r="AR8" s="263"/>
      <c r="AS8" s="263"/>
      <c r="AT8" s="263"/>
      <c r="AU8" s="263"/>
      <c r="AV8" s="263"/>
      <c r="AW8" s="263"/>
      <c r="AX8" s="263"/>
      <c r="AY8" s="263"/>
      <c r="AZ8" s="263"/>
      <c r="BA8" s="263"/>
      <c r="BB8" s="263"/>
      <c r="BC8" s="263"/>
      <c r="BD8" s="263"/>
      <c r="BE8" s="263"/>
      <c r="BF8" s="263"/>
      <c r="BG8" s="263"/>
      <c r="BH8" s="263"/>
      <c r="BI8" s="263"/>
      <c r="BJ8" s="263"/>
      <c r="BK8" s="263"/>
      <c r="BL8" s="263"/>
      <c r="BM8" s="263"/>
      <c r="BN8" s="263"/>
      <c r="BO8" s="263"/>
      <c r="BP8" s="263"/>
      <c r="BQ8" s="263"/>
      <c r="BR8" s="263"/>
      <c r="BS8" s="263"/>
      <c r="BT8" s="263"/>
      <c r="BU8" s="263"/>
      <c r="BV8" s="263"/>
      <c r="BW8" s="263"/>
      <c r="BX8" s="263"/>
      <c r="BY8" s="263"/>
      <c r="BZ8" s="263"/>
      <c r="CA8" s="263"/>
      <c r="CB8" s="263"/>
      <c r="CC8" s="263"/>
      <c r="CD8" s="263"/>
      <c r="CE8" s="263"/>
      <c r="CF8" s="263"/>
      <c r="CG8" s="263"/>
      <c r="CH8" s="263"/>
      <c r="CI8" s="263"/>
      <c r="CJ8" s="263"/>
      <c r="CK8" s="263"/>
      <c r="CL8" s="263"/>
      <c r="CM8" s="263"/>
      <c r="CN8" s="263"/>
      <c r="CO8" s="263"/>
      <c r="CP8" s="263"/>
      <c r="CQ8" s="263"/>
      <c r="CR8" s="263"/>
      <c r="CS8" s="263"/>
      <c r="CT8" s="263"/>
      <c r="CU8" s="263"/>
      <c r="CV8" s="263"/>
      <c r="CW8" s="263"/>
      <c r="CX8" s="263"/>
      <c r="CY8" s="263"/>
      <c r="CZ8" s="263"/>
      <c r="DA8" s="263"/>
      <c r="DB8" s="263"/>
      <c r="DC8" s="263"/>
      <c r="DD8" s="263"/>
      <c r="DE8" s="263"/>
      <c r="DF8" s="263"/>
      <c r="DG8" s="263"/>
      <c r="DH8" s="263"/>
      <c r="DI8" s="263"/>
      <c r="DJ8" s="263"/>
      <c r="DK8" s="263"/>
      <c r="DL8" s="263"/>
      <c r="DM8" s="263"/>
      <c r="DN8" s="263"/>
      <c r="DO8" s="263"/>
      <c r="DP8" s="263"/>
      <c r="DQ8" s="263"/>
      <c r="DR8" s="263"/>
      <c r="DS8" s="263"/>
      <c r="DT8" s="263"/>
      <c r="DU8" s="263"/>
      <c r="DV8" s="263"/>
      <c r="DW8" s="263"/>
      <c r="DX8" s="263"/>
      <c r="DY8" s="263"/>
      <c r="DZ8" s="263"/>
      <c r="EA8" s="263"/>
      <c r="EB8" s="263"/>
      <c r="EC8" s="263"/>
      <c r="ED8" s="263"/>
      <c r="EE8" s="263"/>
      <c r="EF8" s="263"/>
      <c r="EG8" s="263"/>
      <c r="EH8" s="263"/>
      <c r="EI8" s="263"/>
      <c r="EJ8" s="263"/>
      <c r="EK8" s="263"/>
      <c r="EL8" s="263"/>
      <c r="EM8" s="263"/>
      <c r="EN8" s="263"/>
      <c r="EO8" s="263"/>
      <c r="EP8" s="263"/>
      <c r="EQ8" s="263"/>
      <c r="ER8" s="263"/>
      <c r="ES8" s="263"/>
      <c r="ET8" s="263"/>
      <c r="EU8" s="263"/>
      <c r="EV8" s="263"/>
      <c r="EW8" s="263"/>
      <c r="EX8" s="263"/>
      <c r="EY8" s="263"/>
      <c r="EZ8" s="263"/>
      <c r="FA8" s="263"/>
      <c r="FB8" s="263"/>
      <c r="FC8" s="263"/>
      <c r="FD8" s="263"/>
      <c r="FE8" s="263"/>
      <c r="FF8" s="263"/>
      <c r="FG8" s="263"/>
      <c r="FH8" s="263"/>
      <c r="FI8" s="263"/>
      <c r="FJ8" s="263"/>
      <c r="FK8" s="263"/>
      <c r="FL8" s="263"/>
      <c r="FM8" s="263"/>
      <c r="FN8" s="263"/>
      <c r="FO8" s="263"/>
      <c r="FP8" s="263"/>
      <c r="FQ8" s="263"/>
      <c r="FR8" s="263"/>
      <c r="FS8" s="263"/>
      <c r="FT8" s="263"/>
      <c r="FU8" s="263"/>
      <c r="FV8" s="263"/>
      <c r="FW8" s="263"/>
      <c r="FX8" s="263"/>
      <c r="FY8" s="263"/>
      <c r="FZ8" s="263"/>
      <c r="GA8" s="263"/>
      <c r="GB8" s="263"/>
      <c r="GC8" s="263"/>
      <c r="GD8" s="263"/>
      <c r="GE8" s="263"/>
      <c r="GF8" s="263"/>
      <c r="GG8" s="263"/>
      <c r="GH8" s="263"/>
      <c r="GI8" s="263"/>
      <c r="GJ8" s="263"/>
      <c r="GK8" s="263"/>
      <c r="GL8" s="263"/>
      <c r="GM8" s="263"/>
      <c r="GN8" s="263"/>
      <c r="GO8" s="263"/>
      <c r="GP8" s="263"/>
      <c r="GQ8" s="263"/>
      <c r="GR8" s="263"/>
      <c r="GS8" s="263"/>
      <c r="GT8" s="263"/>
      <c r="GU8" s="263"/>
      <c r="GV8" s="263"/>
      <c r="GW8" s="263"/>
      <c r="GX8" s="263"/>
      <c r="GY8" s="263"/>
      <c r="GZ8" s="263"/>
      <c r="HA8" s="263"/>
      <c r="HB8" s="263"/>
      <c r="HC8" s="263"/>
      <c r="HD8" s="263"/>
      <c r="HE8" s="263"/>
      <c r="HF8" s="263"/>
      <c r="HG8" s="263"/>
      <c r="HH8" s="263"/>
      <c r="HI8" s="263"/>
      <c r="HJ8" s="263"/>
      <c r="HK8" s="263"/>
      <c r="HL8" s="263"/>
      <c r="HM8" s="263"/>
      <c r="HN8" s="263"/>
      <c r="HO8" s="263"/>
      <c r="HP8" s="263"/>
      <c r="HQ8" s="263"/>
      <c r="HR8" s="263"/>
      <c r="HS8" s="263"/>
      <c r="HT8" s="263"/>
      <c r="HU8" s="263"/>
      <c r="HV8" s="263"/>
      <c r="HW8" s="263"/>
      <c r="HX8" s="263"/>
      <c r="HY8" s="263"/>
      <c r="HZ8" s="263"/>
      <c r="IA8" s="263"/>
      <c r="IB8" s="263"/>
      <c r="IC8" s="263"/>
      <c r="ID8" s="263"/>
      <c r="IE8" s="263"/>
      <c r="IF8" s="263"/>
      <c r="IG8" s="263"/>
      <c r="IH8" s="263"/>
      <c r="II8" s="263"/>
      <c r="IJ8" s="263"/>
      <c r="IK8" s="263"/>
      <c r="IL8" s="263"/>
      <c r="IM8" s="263"/>
      <c r="IN8" s="263"/>
      <c r="IO8" s="263"/>
      <c r="IP8" s="263"/>
      <c r="IQ8" s="263"/>
      <c r="IR8" s="263"/>
      <c r="IS8" s="263"/>
      <c r="IT8" s="263"/>
      <c r="IU8" s="263"/>
      <c r="IV8" s="263"/>
    </row>
    <row r="9" spans="1:256" s="279" customFormat="1" ht="15" hidden="1" customHeight="1" x14ac:dyDescent="0.3">
      <c r="A9" s="638">
        <v>17120162</v>
      </c>
      <c r="B9" s="638" t="s">
        <v>374</v>
      </c>
      <c r="C9" s="638">
        <v>346.02</v>
      </c>
      <c r="D9" s="311"/>
      <c r="E9" s="305">
        <f>SUMIF(Adjustments!A:A,A9,Adjustments!C:C)</f>
        <v>0</v>
      </c>
      <c r="F9" s="278">
        <f t="shared" si="0"/>
        <v>346.02</v>
      </c>
      <c r="G9" s="263" t="str">
        <f>VLOOKUP('Trial Balance'!$A9,'Code Allocation'!$A:$D,3,0)</f>
        <v>CRA</v>
      </c>
      <c r="H9" s="266" t="str">
        <f>VLOOKUP('Trial Balance'!$A9,'Code Allocation'!$A:$D,4,0)</f>
        <v>Allotments</v>
      </c>
      <c r="I9" s="267" t="str">
        <f>VLOOKUP('Trial Balance'!$A9,'Code Allocation'!$A:$E,5,0)</f>
        <v>Premises Related Expenses</v>
      </c>
      <c r="J9" s="268" t="str">
        <f>VLOOKUP('Trial Balance'!$A9,'Code Allocation'!$A:$F,6,0)</f>
        <v>Water</v>
      </c>
      <c r="K9" s="263"/>
      <c r="L9" s="263"/>
      <c r="M9" s="263"/>
      <c r="N9" s="263"/>
      <c r="O9" s="263"/>
      <c r="P9" s="263"/>
      <c r="Q9" s="263"/>
      <c r="R9" s="263"/>
      <c r="S9" s="263"/>
      <c r="T9" s="263"/>
      <c r="U9" s="263"/>
      <c r="V9" s="263"/>
      <c r="W9" s="263"/>
      <c r="X9" s="263"/>
      <c r="Y9" s="263"/>
      <c r="Z9" s="263"/>
      <c r="AA9" s="263"/>
      <c r="AB9" s="263"/>
      <c r="AC9" s="263"/>
      <c r="AD9" s="263"/>
      <c r="AE9" s="263"/>
      <c r="AF9" s="263"/>
      <c r="AG9" s="263"/>
      <c r="AH9" s="263"/>
      <c r="AI9" s="263"/>
      <c r="AJ9" s="263"/>
      <c r="AK9" s="263"/>
      <c r="AL9" s="263"/>
      <c r="AM9" s="263"/>
      <c r="AN9" s="263"/>
      <c r="AO9" s="263"/>
      <c r="AP9" s="263"/>
      <c r="AQ9" s="263"/>
      <c r="AR9" s="263"/>
      <c r="AS9" s="263"/>
      <c r="AT9" s="263"/>
      <c r="AU9" s="263"/>
      <c r="AV9" s="263"/>
      <c r="AW9" s="263"/>
      <c r="AX9" s="263"/>
      <c r="AY9" s="263"/>
      <c r="AZ9" s="263"/>
      <c r="BA9" s="263"/>
      <c r="BB9" s="263"/>
      <c r="BC9" s="263"/>
      <c r="BD9" s="263"/>
      <c r="BE9" s="263"/>
      <c r="BF9" s="263"/>
      <c r="BG9" s="263"/>
      <c r="BH9" s="263"/>
      <c r="BI9" s="263"/>
      <c r="BJ9" s="263"/>
      <c r="BK9" s="263"/>
      <c r="BL9" s="263"/>
      <c r="BM9" s="263"/>
      <c r="BN9" s="263"/>
      <c r="BO9" s="263"/>
      <c r="BP9" s="263"/>
      <c r="BQ9" s="263"/>
      <c r="BR9" s="263"/>
      <c r="BS9" s="263"/>
      <c r="BT9" s="263"/>
      <c r="BU9" s="263"/>
      <c r="BV9" s="263"/>
      <c r="BW9" s="263"/>
      <c r="BX9" s="263"/>
      <c r="BY9" s="263"/>
      <c r="BZ9" s="263"/>
      <c r="CA9" s="263"/>
      <c r="CB9" s="263"/>
      <c r="CC9" s="263"/>
      <c r="CD9" s="263"/>
      <c r="CE9" s="263"/>
      <c r="CF9" s="263"/>
      <c r="CG9" s="263"/>
      <c r="CH9" s="263"/>
      <c r="CI9" s="263"/>
      <c r="CJ9" s="263"/>
      <c r="CK9" s="263"/>
      <c r="CL9" s="263"/>
      <c r="CM9" s="263"/>
      <c r="CN9" s="263"/>
      <c r="CO9" s="263"/>
      <c r="CP9" s="263"/>
      <c r="CQ9" s="263"/>
      <c r="CR9" s="263"/>
      <c r="CS9" s="263"/>
      <c r="CT9" s="263"/>
      <c r="CU9" s="263"/>
      <c r="CV9" s="263"/>
      <c r="CW9" s="263"/>
      <c r="CX9" s="263"/>
      <c r="CY9" s="263"/>
      <c r="CZ9" s="263"/>
      <c r="DA9" s="263"/>
      <c r="DB9" s="263"/>
      <c r="DC9" s="263"/>
      <c r="DD9" s="263"/>
      <c r="DE9" s="263"/>
      <c r="DF9" s="263"/>
      <c r="DG9" s="263"/>
      <c r="DH9" s="263"/>
      <c r="DI9" s="263"/>
      <c r="DJ9" s="263"/>
      <c r="DK9" s="263"/>
      <c r="DL9" s="263"/>
      <c r="DM9" s="263"/>
      <c r="DN9" s="263"/>
      <c r="DO9" s="263"/>
      <c r="DP9" s="263"/>
      <c r="DQ9" s="263"/>
      <c r="DR9" s="263"/>
      <c r="DS9" s="263"/>
      <c r="DT9" s="263"/>
      <c r="DU9" s="263"/>
      <c r="DV9" s="263"/>
      <c r="DW9" s="263"/>
      <c r="DX9" s="263"/>
      <c r="DY9" s="263"/>
      <c r="DZ9" s="263"/>
      <c r="EA9" s="263"/>
      <c r="EB9" s="263"/>
      <c r="EC9" s="263"/>
      <c r="ED9" s="263"/>
      <c r="EE9" s="263"/>
      <c r="EF9" s="263"/>
      <c r="EG9" s="263"/>
      <c r="EH9" s="263"/>
      <c r="EI9" s="263"/>
      <c r="EJ9" s="263"/>
      <c r="EK9" s="263"/>
      <c r="EL9" s="263"/>
      <c r="EM9" s="263"/>
      <c r="EN9" s="263"/>
      <c r="EO9" s="263"/>
      <c r="EP9" s="263"/>
      <c r="EQ9" s="263"/>
      <c r="ER9" s="263"/>
      <c r="ES9" s="263"/>
      <c r="ET9" s="263"/>
      <c r="EU9" s="263"/>
      <c r="EV9" s="263"/>
      <c r="EW9" s="263"/>
      <c r="EX9" s="263"/>
      <c r="EY9" s="263"/>
      <c r="EZ9" s="263"/>
      <c r="FA9" s="263"/>
      <c r="FB9" s="263"/>
      <c r="FC9" s="263"/>
      <c r="FD9" s="263"/>
      <c r="FE9" s="263"/>
      <c r="FF9" s="263"/>
      <c r="FG9" s="263"/>
      <c r="FH9" s="263"/>
      <c r="FI9" s="263"/>
      <c r="FJ9" s="263"/>
      <c r="FK9" s="263"/>
      <c r="FL9" s="263"/>
      <c r="FM9" s="263"/>
      <c r="FN9" s="263"/>
      <c r="FO9" s="263"/>
      <c r="FP9" s="263"/>
      <c r="FQ9" s="263"/>
      <c r="FR9" s="263"/>
      <c r="FS9" s="263"/>
      <c r="FT9" s="263"/>
      <c r="FU9" s="263"/>
      <c r="FV9" s="263"/>
      <c r="FW9" s="263"/>
      <c r="FX9" s="263"/>
      <c r="FY9" s="263"/>
      <c r="FZ9" s="263"/>
      <c r="GA9" s="263"/>
      <c r="GB9" s="263"/>
      <c r="GC9" s="263"/>
      <c r="GD9" s="263"/>
      <c r="GE9" s="263"/>
      <c r="GF9" s="263"/>
      <c r="GG9" s="263"/>
      <c r="GH9" s="263"/>
      <c r="GI9" s="263"/>
      <c r="GJ9" s="263"/>
      <c r="GK9" s="263"/>
      <c r="GL9" s="263"/>
      <c r="GM9" s="263"/>
      <c r="GN9" s="263"/>
      <c r="GO9" s="263"/>
      <c r="GP9" s="263"/>
      <c r="GQ9" s="263"/>
      <c r="GR9" s="263"/>
      <c r="GS9" s="263"/>
      <c r="GT9" s="263"/>
      <c r="GU9" s="263"/>
      <c r="GV9" s="263"/>
      <c r="GW9" s="263"/>
      <c r="GX9" s="263"/>
      <c r="GY9" s="263"/>
      <c r="GZ9" s="263"/>
      <c r="HA9" s="263"/>
      <c r="HB9" s="263"/>
      <c r="HC9" s="263"/>
      <c r="HD9" s="263"/>
      <c r="HE9" s="263"/>
      <c r="HF9" s="263"/>
      <c r="HG9" s="263"/>
      <c r="HH9" s="263"/>
      <c r="HI9" s="263"/>
      <c r="HJ9" s="263"/>
      <c r="HK9" s="263"/>
      <c r="HL9" s="263"/>
      <c r="HM9" s="263"/>
      <c r="HN9" s="263"/>
      <c r="HO9" s="263"/>
      <c r="HP9" s="263"/>
      <c r="HQ9" s="263"/>
      <c r="HR9" s="263"/>
      <c r="HS9" s="263"/>
      <c r="HT9" s="263"/>
      <c r="HU9" s="263"/>
      <c r="HV9" s="263"/>
      <c r="HW9" s="263"/>
      <c r="HX9" s="263"/>
      <c r="HY9" s="263"/>
      <c r="HZ9" s="263"/>
      <c r="IA9" s="263"/>
      <c r="IB9" s="263"/>
      <c r="IC9" s="263"/>
      <c r="ID9" s="263"/>
      <c r="IE9" s="263"/>
      <c r="IF9" s="263"/>
      <c r="IG9" s="263"/>
      <c r="IH9" s="263"/>
      <c r="II9" s="263"/>
      <c r="IJ9" s="263"/>
      <c r="IK9" s="263"/>
      <c r="IL9" s="263"/>
      <c r="IM9" s="263"/>
      <c r="IN9" s="263"/>
      <c r="IO9" s="263"/>
      <c r="IP9" s="263"/>
      <c r="IQ9" s="263"/>
      <c r="IR9" s="263"/>
      <c r="IS9" s="263"/>
      <c r="IT9" s="263"/>
      <c r="IU9" s="263"/>
      <c r="IV9" s="263"/>
    </row>
    <row r="10" spans="1:256" s="279" customFormat="1" ht="15" hidden="1" customHeight="1" x14ac:dyDescent="0.3">
      <c r="A10" s="638">
        <v>17120165</v>
      </c>
      <c r="B10" s="638" t="s">
        <v>375</v>
      </c>
      <c r="C10" s="638">
        <v>330.81</v>
      </c>
      <c r="D10" s="311"/>
      <c r="E10" s="305">
        <f>SUMIF(Adjustments!A:A,A10,Adjustments!C:C)</f>
        <v>0</v>
      </c>
      <c r="F10" s="278">
        <f t="shared" si="0"/>
        <v>330.81</v>
      </c>
      <c r="G10" s="263" t="str">
        <f>VLOOKUP('Trial Balance'!$A10,'Code Allocation'!$A:$D,3,0)</f>
        <v>CRA</v>
      </c>
      <c r="H10" s="266" t="str">
        <f>VLOOKUP('Trial Balance'!$A10,'Code Allocation'!$A:$D,4,0)</f>
        <v>Allotments</v>
      </c>
      <c r="I10" s="267" t="str">
        <f>VLOOKUP('Trial Balance'!$A10,'Code Allocation'!$A:$E,5,0)</f>
        <v>Premises Related Expenses</v>
      </c>
      <c r="J10" s="268" t="str">
        <f>VLOOKUP('Trial Balance'!$A10,'Code Allocation'!$A:$F,6,0)</f>
        <v>Water</v>
      </c>
      <c r="K10" s="263"/>
      <c r="L10" s="263"/>
      <c r="M10" s="263"/>
      <c r="N10" s="263"/>
      <c r="O10" s="263"/>
      <c r="P10" s="263"/>
      <c r="Q10" s="263"/>
      <c r="R10" s="263"/>
      <c r="S10" s="263"/>
      <c r="T10" s="263"/>
      <c r="U10" s="263"/>
      <c r="V10" s="263"/>
      <c r="W10" s="263"/>
      <c r="X10" s="263"/>
      <c r="Y10" s="263"/>
      <c r="Z10" s="263"/>
      <c r="AA10" s="263"/>
      <c r="AB10" s="263"/>
      <c r="AC10" s="263"/>
      <c r="AD10" s="263"/>
      <c r="AE10" s="263"/>
      <c r="AF10" s="263"/>
      <c r="AG10" s="263"/>
      <c r="AH10" s="263"/>
      <c r="AI10" s="263"/>
      <c r="AJ10" s="263"/>
      <c r="AK10" s="263"/>
      <c r="AL10" s="263"/>
      <c r="AM10" s="263"/>
      <c r="AN10" s="263"/>
      <c r="AO10" s="263"/>
      <c r="AP10" s="263"/>
      <c r="AQ10" s="263"/>
      <c r="AR10" s="263"/>
      <c r="AS10" s="263"/>
      <c r="AT10" s="263"/>
      <c r="AU10" s="263"/>
      <c r="AV10" s="263"/>
      <c r="AW10" s="263"/>
      <c r="AX10" s="263"/>
      <c r="AY10" s="263"/>
      <c r="AZ10" s="263"/>
      <c r="BA10" s="263"/>
      <c r="BB10" s="263"/>
      <c r="BC10" s="263"/>
      <c r="BD10" s="263"/>
      <c r="BE10" s="263"/>
      <c r="BF10" s="263"/>
      <c r="BG10" s="263"/>
      <c r="BH10" s="263"/>
      <c r="BI10" s="263"/>
      <c r="BJ10" s="263"/>
      <c r="BK10" s="263"/>
      <c r="BL10" s="263"/>
      <c r="BM10" s="263"/>
      <c r="BN10" s="263"/>
      <c r="BO10" s="263"/>
      <c r="BP10" s="263"/>
      <c r="BQ10" s="263"/>
      <c r="BR10" s="263"/>
      <c r="BS10" s="263"/>
      <c r="BT10" s="263"/>
      <c r="BU10" s="263"/>
      <c r="BV10" s="263"/>
      <c r="BW10" s="263"/>
      <c r="BX10" s="263"/>
      <c r="BY10" s="263"/>
      <c r="BZ10" s="263"/>
      <c r="CA10" s="263"/>
      <c r="CB10" s="263"/>
      <c r="CC10" s="263"/>
      <c r="CD10" s="263"/>
      <c r="CE10" s="263"/>
      <c r="CF10" s="263"/>
      <c r="CG10" s="263"/>
      <c r="CH10" s="263"/>
      <c r="CI10" s="263"/>
      <c r="CJ10" s="263"/>
      <c r="CK10" s="263"/>
      <c r="CL10" s="263"/>
      <c r="CM10" s="263"/>
      <c r="CN10" s="263"/>
      <c r="CO10" s="263"/>
      <c r="CP10" s="263"/>
      <c r="CQ10" s="263"/>
      <c r="CR10" s="263"/>
      <c r="CS10" s="263"/>
      <c r="CT10" s="263"/>
      <c r="CU10" s="263"/>
      <c r="CV10" s="263"/>
      <c r="CW10" s="263"/>
      <c r="CX10" s="263"/>
      <c r="CY10" s="263"/>
      <c r="CZ10" s="263"/>
      <c r="DA10" s="263"/>
      <c r="DB10" s="263"/>
      <c r="DC10" s="263"/>
      <c r="DD10" s="263"/>
      <c r="DE10" s="263"/>
      <c r="DF10" s="263"/>
      <c r="DG10" s="263"/>
      <c r="DH10" s="263"/>
      <c r="DI10" s="263"/>
      <c r="DJ10" s="263"/>
      <c r="DK10" s="263"/>
      <c r="DL10" s="263"/>
      <c r="DM10" s="263"/>
      <c r="DN10" s="263"/>
      <c r="DO10" s="263"/>
      <c r="DP10" s="263"/>
      <c r="DQ10" s="263"/>
      <c r="DR10" s="263"/>
      <c r="DS10" s="263"/>
      <c r="DT10" s="263"/>
      <c r="DU10" s="263"/>
      <c r="DV10" s="263"/>
      <c r="DW10" s="263"/>
      <c r="DX10" s="263"/>
      <c r="DY10" s="263"/>
      <c r="DZ10" s="263"/>
      <c r="EA10" s="263"/>
      <c r="EB10" s="263"/>
      <c r="EC10" s="263"/>
      <c r="ED10" s="263"/>
      <c r="EE10" s="263"/>
      <c r="EF10" s="263"/>
      <c r="EG10" s="263"/>
      <c r="EH10" s="263"/>
      <c r="EI10" s="263"/>
      <c r="EJ10" s="263"/>
      <c r="EK10" s="263"/>
      <c r="EL10" s="263"/>
      <c r="EM10" s="263"/>
      <c r="EN10" s="263"/>
      <c r="EO10" s="263"/>
      <c r="EP10" s="263"/>
      <c r="EQ10" s="263"/>
      <c r="ER10" s="263"/>
      <c r="ES10" s="263"/>
      <c r="ET10" s="263"/>
      <c r="EU10" s="263"/>
      <c r="EV10" s="263"/>
      <c r="EW10" s="263"/>
      <c r="EX10" s="263"/>
      <c r="EY10" s="263"/>
      <c r="EZ10" s="263"/>
      <c r="FA10" s="263"/>
      <c r="FB10" s="263"/>
      <c r="FC10" s="263"/>
      <c r="FD10" s="263"/>
      <c r="FE10" s="263"/>
      <c r="FF10" s="263"/>
      <c r="FG10" s="263"/>
      <c r="FH10" s="263"/>
      <c r="FI10" s="263"/>
      <c r="FJ10" s="263"/>
      <c r="FK10" s="263"/>
      <c r="FL10" s="263"/>
      <c r="FM10" s="263"/>
      <c r="FN10" s="263"/>
      <c r="FO10" s="263"/>
      <c r="FP10" s="263"/>
      <c r="FQ10" s="263"/>
      <c r="FR10" s="263"/>
      <c r="FS10" s="263"/>
      <c r="FT10" s="263"/>
      <c r="FU10" s="263"/>
      <c r="FV10" s="263"/>
      <c r="FW10" s="263"/>
      <c r="FX10" s="263"/>
      <c r="FY10" s="263"/>
      <c r="FZ10" s="263"/>
      <c r="GA10" s="263"/>
      <c r="GB10" s="263"/>
      <c r="GC10" s="263"/>
      <c r="GD10" s="263"/>
      <c r="GE10" s="263"/>
      <c r="GF10" s="263"/>
      <c r="GG10" s="263"/>
      <c r="GH10" s="263"/>
      <c r="GI10" s="263"/>
      <c r="GJ10" s="263"/>
      <c r="GK10" s="263"/>
      <c r="GL10" s="263"/>
      <c r="GM10" s="263"/>
      <c r="GN10" s="263"/>
      <c r="GO10" s="263"/>
      <c r="GP10" s="263"/>
      <c r="GQ10" s="263"/>
      <c r="GR10" s="263"/>
      <c r="GS10" s="263"/>
      <c r="GT10" s="263"/>
      <c r="GU10" s="263"/>
      <c r="GV10" s="263"/>
      <c r="GW10" s="263"/>
      <c r="GX10" s="263"/>
      <c r="GY10" s="263"/>
      <c r="GZ10" s="263"/>
      <c r="HA10" s="263"/>
      <c r="HB10" s="263"/>
      <c r="HC10" s="263"/>
      <c r="HD10" s="263"/>
      <c r="HE10" s="263"/>
      <c r="HF10" s="263"/>
      <c r="HG10" s="263"/>
      <c r="HH10" s="263"/>
      <c r="HI10" s="263"/>
      <c r="HJ10" s="263"/>
      <c r="HK10" s="263"/>
      <c r="HL10" s="263"/>
      <c r="HM10" s="263"/>
      <c r="HN10" s="263"/>
      <c r="HO10" s="263"/>
      <c r="HP10" s="263"/>
      <c r="HQ10" s="263"/>
      <c r="HR10" s="263"/>
      <c r="HS10" s="263"/>
      <c r="HT10" s="263"/>
      <c r="HU10" s="263"/>
      <c r="HV10" s="263"/>
      <c r="HW10" s="263"/>
      <c r="HX10" s="263"/>
      <c r="HY10" s="263"/>
      <c r="HZ10" s="263"/>
      <c r="IA10" s="263"/>
      <c r="IB10" s="263"/>
      <c r="IC10" s="263"/>
      <c r="ID10" s="263"/>
      <c r="IE10" s="263"/>
      <c r="IF10" s="263"/>
      <c r="IG10" s="263"/>
      <c r="IH10" s="263"/>
      <c r="II10" s="263"/>
      <c r="IJ10" s="263"/>
      <c r="IK10" s="263"/>
      <c r="IL10" s="263"/>
      <c r="IM10" s="263"/>
      <c r="IN10" s="263"/>
      <c r="IO10" s="263"/>
      <c r="IP10" s="263"/>
      <c r="IQ10" s="263"/>
      <c r="IR10" s="263"/>
      <c r="IS10" s="263"/>
      <c r="IT10" s="263"/>
      <c r="IU10" s="263"/>
      <c r="IV10" s="263"/>
    </row>
    <row r="11" spans="1:256" s="279" customFormat="1" ht="15" hidden="1" customHeight="1" x14ac:dyDescent="0.3">
      <c r="A11" s="638">
        <v>17130160</v>
      </c>
      <c r="B11" s="638" t="s">
        <v>376</v>
      </c>
      <c r="C11" s="638">
        <v>201.25</v>
      </c>
      <c r="D11" s="311"/>
      <c r="E11" s="305">
        <f>SUMIF(Adjustments!A:A,A11,Adjustments!C:C)</f>
        <v>0</v>
      </c>
      <c r="F11" s="278">
        <f t="shared" si="0"/>
        <v>201.25</v>
      </c>
      <c r="G11" s="263" t="str">
        <f>VLOOKUP('Trial Balance'!$A11,'Code Allocation'!$A:$D,3,0)</f>
        <v>CRA</v>
      </c>
      <c r="H11" s="266" t="str">
        <f>VLOOKUP('Trial Balance'!$A11,'Code Allocation'!$A:$D,4,0)</f>
        <v>Allotments</v>
      </c>
      <c r="I11" s="267" t="str">
        <f>VLOOKUP('Trial Balance'!$A11,'Code Allocation'!$A:$E,5,0)</f>
        <v>Premises Related Expenses</v>
      </c>
      <c r="J11" s="268" t="str">
        <f>VLOOKUP('Trial Balance'!$A11,'Code Allocation'!$A:$F,6,0)</f>
        <v>Rent</v>
      </c>
      <c r="K11" s="263"/>
      <c r="L11" s="263"/>
      <c r="M11" s="263"/>
      <c r="N11" s="263"/>
      <c r="O11" s="263"/>
      <c r="P11" s="263"/>
      <c r="Q11" s="263"/>
      <c r="R11" s="263"/>
      <c r="S11" s="263"/>
      <c r="T11" s="263"/>
      <c r="U11" s="263"/>
      <c r="V11" s="263"/>
      <c r="W11" s="263"/>
      <c r="X11" s="263"/>
      <c r="Y11" s="263"/>
      <c r="Z11" s="263"/>
      <c r="AA11" s="263"/>
      <c r="AB11" s="263"/>
      <c r="AC11" s="263"/>
      <c r="AD11" s="263"/>
      <c r="AE11" s="263"/>
      <c r="AF11" s="263"/>
      <c r="AG11" s="263"/>
      <c r="AH11" s="263"/>
      <c r="AI11" s="263"/>
      <c r="AJ11" s="263"/>
      <c r="AK11" s="263"/>
      <c r="AL11" s="263"/>
      <c r="AM11" s="263"/>
      <c r="AN11" s="263"/>
      <c r="AO11" s="263"/>
      <c r="AP11" s="263"/>
      <c r="AQ11" s="263"/>
      <c r="AR11" s="263"/>
      <c r="AS11" s="263"/>
      <c r="AT11" s="263"/>
      <c r="AU11" s="263"/>
      <c r="AV11" s="263"/>
      <c r="AW11" s="263"/>
      <c r="AX11" s="263"/>
      <c r="AY11" s="263"/>
      <c r="AZ11" s="263"/>
      <c r="BA11" s="263"/>
      <c r="BB11" s="263"/>
      <c r="BC11" s="263"/>
      <c r="BD11" s="263"/>
      <c r="BE11" s="263"/>
      <c r="BF11" s="263"/>
      <c r="BG11" s="263"/>
      <c r="BH11" s="263"/>
      <c r="BI11" s="263"/>
      <c r="BJ11" s="263"/>
      <c r="BK11" s="263"/>
      <c r="BL11" s="263"/>
      <c r="BM11" s="263"/>
      <c r="BN11" s="263"/>
      <c r="BO11" s="263"/>
      <c r="BP11" s="263"/>
      <c r="BQ11" s="263"/>
      <c r="BR11" s="263"/>
      <c r="BS11" s="263"/>
      <c r="BT11" s="263"/>
      <c r="BU11" s="263"/>
      <c r="BV11" s="263"/>
      <c r="BW11" s="263"/>
      <c r="BX11" s="263"/>
      <c r="BY11" s="263"/>
      <c r="BZ11" s="263"/>
      <c r="CA11" s="263"/>
      <c r="CB11" s="263"/>
      <c r="CC11" s="263"/>
      <c r="CD11" s="263"/>
      <c r="CE11" s="263"/>
      <c r="CF11" s="263"/>
      <c r="CG11" s="263"/>
      <c r="CH11" s="263"/>
      <c r="CI11" s="263"/>
      <c r="CJ11" s="263"/>
      <c r="CK11" s="263"/>
      <c r="CL11" s="263"/>
      <c r="CM11" s="263"/>
      <c r="CN11" s="263"/>
      <c r="CO11" s="263"/>
      <c r="CP11" s="263"/>
      <c r="CQ11" s="263"/>
      <c r="CR11" s="263"/>
      <c r="CS11" s="263"/>
      <c r="CT11" s="263"/>
      <c r="CU11" s="263"/>
      <c r="CV11" s="263"/>
      <c r="CW11" s="263"/>
      <c r="CX11" s="263"/>
      <c r="CY11" s="263"/>
      <c r="CZ11" s="263"/>
      <c r="DA11" s="263"/>
      <c r="DB11" s="263"/>
      <c r="DC11" s="263"/>
      <c r="DD11" s="263"/>
      <c r="DE11" s="263"/>
      <c r="DF11" s="263"/>
      <c r="DG11" s="263"/>
      <c r="DH11" s="263"/>
      <c r="DI11" s="263"/>
      <c r="DJ11" s="263"/>
      <c r="DK11" s="263"/>
      <c r="DL11" s="263"/>
      <c r="DM11" s="263"/>
      <c r="DN11" s="263"/>
      <c r="DO11" s="263"/>
      <c r="DP11" s="263"/>
      <c r="DQ11" s="263"/>
      <c r="DR11" s="263"/>
      <c r="DS11" s="263"/>
      <c r="DT11" s="263"/>
      <c r="DU11" s="263"/>
      <c r="DV11" s="263"/>
      <c r="DW11" s="263"/>
      <c r="DX11" s="263"/>
      <c r="DY11" s="263"/>
      <c r="DZ11" s="263"/>
      <c r="EA11" s="263"/>
      <c r="EB11" s="263"/>
      <c r="EC11" s="263"/>
      <c r="ED11" s="263"/>
      <c r="EE11" s="263"/>
      <c r="EF11" s="263"/>
      <c r="EG11" s="263"/>
      <c r="EH11" s="263"/>
      <c r="EI11" s="263"/>
      <c r="EJ11" s="263"/>
      <c r="EK11" s="263"/>
      <c r="EL11" s="263"/>
      <c r="EM11" s="263"/>
      <c r="EN11" s="263"/>
      <c r="EO11" s="263"/>
      <c r="EP11" s="263"/>
      <c r="EQ11" s="263"/>
      <c r="ER11" s="263"/>
      <c r="ES11" s="263"/>
      <c r="ET11" s="263"/>
      <c r="EU11" s="263"/>
      <c r="EV11" s="263"/>
      <c r="EW11" s="263"/>
      <c r="EX11" s="263"/>
      <c r="EY11" s="263"/>
      <c r="EZ11" s="263"/>
      <c r="FA11" s="263"/>
      <c r="FB11" s="263"/>
      <c r="FC11" s="263"/>
      <c r="FD11" s="263"/>
      <c r="FE11" s="263"/>
      <c r="FF11" s="263"/>
      <c r="FG11" s="263"/>
      <c r="FH11" s="263"/>
      <c r="FI11" s="263"/>
      <c r="FJ11" s="263"/>
      <c r="FK11" s="263"/>
      <c r="FL11" s="263"/>
      <c r="FM11" s="263"/>
      <c r="FN11" s="263"/>
      <c r="FO11" s="263"/>
      <c r="FP11" s="263"/>
      <c r="FQ11" s="263"/>
      <c r="FR11" s="263"/>
      <c r="FS11" s="263"/>
      <c r="FT11" s="263"/>
      <c r="FU11" s="263"/>
      <c r="FV11" s="263"/>
      <c r="FW11" s="263"/>
      <c r="FX11" s="263"/>
      <c r="FY11" s="263"/>
      <c r="FZ11" s="263"/>
      <c r="GA11" s="263"/>
      <c r="GB11" s="263"/>
      <c r="GC11" s="263"/>
      <c r="GD11" s="263"/>
      <c r="GE11" s="263"/>
      <c r="GF11" s="263"/>
      <c r="GG11" s="263"/>
      <c r="GH11" s="263"/>
      <c r="GI11" s="263"/>
      <c r="GJ11" s="263"/>
      <c r="GK11" s="263"/>
      <c r="GL11" s="263"/>
      <c r="GM11" s="263"/>
      <c r="GN11" s="263"/>
      <c r="GO11" s="263"/>
      <c r="GP11" s="263"/>
      <c r="GQ11" s="263"/>
      <c r="GR11" s="263"/>
      <c r="GS11" s="263"/>
      <c r="GT11" s="263"/>
      <c r="GU11" s="263"/>
      <c r="GV11" s="263"/>
      <c r="GW11" s="263"/>
      <c r="GX11" s="263"/>
      <c r="GY11" s="263"/>
      <c r="GZ11" s="263"/>
      <c r="HA11" s="263"/>
      <c r="HB11" s="263"/>
      <c r="HC11" s="263"/>
      <c r="HD11" s="263"/>
      <c r="HE11" s="263"/>
      <c r="HF11" s="263"/>
      <c r="HG11" s="263"/>
      <c r="HH11" s="263"/>
      <c r="HI11" s="263"/>
      <c r="HJ11" s="263"/>
      <c r="HK11" s="263"/>
      <c r="HL11" s="263"/>
      <c r="HM11" s="263"/>
      <c r="HN11" s="263"/>
      <c r="HO11" s="263"/>
      <c r="HP11" s="263"/>
      <c r="HQ11" s="263"/>
      <c r="HR11" s="263"/>
      <c r="HS11" s="263"/>
      <c r="HT11" s="263"/>
      <c r="HU11" s="263"/>
      <c r="HV11" s="263"/>
      <c r="HW11" s="263"/>
      <c r="HX11" s="263"/>
      <c r="HY11" s="263"/>
      <c r="HZ11" s="263"/>
      <c r="IA11" s="263"/>
      <c r="IB11" s="263"/>
      <c r="IC11" s="263"/>
      <c r="ID11" s="263"/>
      <c r="IE11" s="263"/>
      <c r="IF11" s="263"/>
      <c r="IG11" s="263"/>
      <c r="IH11" s="263"/>
      <c r="II11" s="263"/>
      <c r="IJ11" s="263"/>
      <c r="IK11" s="263"/>
      <c r="IL11" s="263"/>
      <c r="IM11" s="263"/>
      <c r="IN11" s="263"/>
      <c r="IO11" s="263"/>
      <c r="IP11" s="263"/>
      <c r="IQ11" s="263"/>
      <c r="IR11" s="263"/>
      <c r="IS11" s="263"/>
      <c r="IT11" s="263"/>
      <c r="IU11" s="263"/>
      <c r="IV11" s="263"/>
    </row>
    <row r="12" spans="1:256" s="279" customFormat="1" ht="15" hidden="1" customHeight="1" x14ac:dyDescent="0.3">
      <c r="A12" s="638">
        <v>17130162</v>
      </c>
      <c r="B12" s="638" t="s">
        <v>377</v>
      </c>
      <c r="C12" s="638">
        <v>66.25</v>
      </c>
      <c r="D12" s="311"/>
      <c r="E12" s="305">
        <f>SUMIF(Adjustments!A:A,A12,Adjustments!C:C)</f>
        <v>0</v>
      </c>
      <c r="F12" s="278">
        <f t="shared" si="0"/>
        <v>66.25</v>
      </c>
      <c r="G12" s="263" t="str">
        <f>VLOOKUP('Trial Balance'!$A12,'Code Allocation'!$A:$D,3,0)</f>
        <v>CRA</v>
      </c>
      <c r="H12" s="266" t="str">
        <f>VLOOKUP('Trial Balance'!$A12,'Code Allocation'!$A:$D,4,0)</f>
        <v>Allotments</v>
      </c>
      <c r="I12" s="267" t="str">
        <f>VLOOKUP('Trial Balance'!$A12,'Code Allocation'!$A:$E,5,0)</f>
        <v>Premises Related Expenses</v>
      </c>
      <c r="J12" s="268" t="str">
        <f>VLOOKUP('Trial Balance'!$A12,'Code Allocation'!$A:$F,6,0)</f>
        <v>Rent</v>
      </c>
      <c r="K12" s="263"/>
      <c r="L12" s="263"/>
      <c r="M12" s="263"/>
      <c r="N12" s="263"/>
      <c r="O12" s="263"/>
      <c r="P12" s="263"/>
      <c r="Q12" s="263"/>
      <c r="R12" s="263"/>
      <c r="S12" s="263"/>
      <c r="T12" s="263"/>
      <c r="U12" s="263"/>
      <c r="V12" s="263"/>
      <c r="W12" s="263"/>
      <c r="X12" s="263"/>
      <c r="Y12" s="263"/>
      <c r="Z12" s="263"/>
      <c r="AA12" s="263"/>
      <c r="AB12" s="263"/>
      <c r="AC12" s="263"/>
      <c r="AD12" s="263"/>
      <c r="AE12" s="263"/>
      <c r="AF12" s="263"/>
      <c r="AG12" s="263"/>
      <c r="AH12" s="263"/>
      <c r="AI12" s="263"/>
      <c r="AJ12" s="263"/>
      <c r="AK12" s="263"/>
      <c r="AL12" s="263"/>
      <c r="AM12" s="263"/>
      <c r="AN12" s="263"/>
      <c r="AO12" s="263"/>
      <c r="AP12" s="263"/>
      <c r="AQ12" s="263"/>
      <c r="AR12" s="263"/>
      <c r="AS12" s="263"/>
      <c r="AT12" s="263"/>
      <c r="AU12" s="263"/>
      <c r="AV12" s="263"/>
      <c r="AW12" s="263"/>
      <c r="AX12" s="263"/>
      <c r="AY12" s="263"/>
      <c r="AZ12" s="263"/>
      <c r="BA12" s="263"/>
      <c r="BB12" s="263"/>
      <c r="BC12" s="263"/>
      <c r="BD12" s="263"/>
      <c r="BE12" s="263"/>
      <c r="BF12" s="263"/>
      <c r="BG12" s="263"/>
      <c r="BH12" s="263"/>
      <c r="BI12" s="263"/>
      <c r="BJ12" s="263"/>
      <c r="BK12" s="263"/>
      <c r="BL12" s="263"/>
      <c r="BM12" s="263"/>
      <c r="BN12" s="263"/>
      <c r="BO12" s="263"/>
      <c r="BP12" s="263"/>
      <c r="BQ12" s="263"/>
      <c r="BR12" s="263"/>
      <c r="BS12" s="263"/>
      <c r="BT12" s="263"/>
      <c r="BU12" s="263"/>
      <c r="BV12" s="263"/>
      <c r="BW12" s="263"/>
      <c r="BX12" s="263"/>
      <c r="BY12" s="263"/>
      <c r="BZ12" s="263"/>
      <c r="CA12" s="263"/>
      <c r="CB12" s="263"/>
      <c r="CC12" s="263"/>
      <c r="CD12" s="263"/>
      <c r="CE12" s="263"/>
      <c r="CF12" s="263"/>
      <c r="CG12" s="263"/>
      <c r="CH12" s="263"/>
      <c r="CI12" s="263"/>
      <c r="CJ12" s="263"/>
      <c r="CK12" s="263"/>
      <c r="CL12" s="263"/>
      <c r="CM12" s="263"/>
      <c r="CN12" s="263"/>
      <c r="CO12" s="263"/>
      <c r="CP12" s="263"/>
      <c r="CQ12" s="263"/>
      <c r="CR12" s="263"/>
      <c r="CS12" s="263"/>
      <c r="CT12" s="263"/>
      <c r="CU12" s="263"/>
      <c r="CV12" s="263"/>
      <c r="CW12" s="263"/>
      <c r="CX12" s="263"/>
      <c r="CY12" s="263"/>
      <c r="CZ12" s="263"/>
      <c r="DA12" s="263"/>
      <c r="DB12" s="263"/>
      <c r="DC12" s="263"/>
      <c r="DD12" s="263"/>
      <c r="DE12" s="263"/>
      <c r="DF12" s="263"/>
      <c r="DG12" s="263"/>
      <c r="DH12" s="263"/>
      <c r="DI12" s="263"/>
      <c r="DJ12" s="263"/>
      <c r="DK12" s="263"/>
      <c r="DL12" s="263"/>
      <c r="DM12" s="263"/>
      <c r="DN12" s="263"/>
      <c r="DO12" s="263"/>
      <c r="DP12" s="263"/>
      <c r="DQ12" s="263"/>
      <c r="DR12" s="263"/>
      <c r="DS12" s="263"/>
      <c r="DT12" s="263"/>
      <c r="DU12" s="263"/>
      <c r="DV12" s="263"/>
      <c r="DW12" s="263"/>
      <c r="DX12" s="263"/>
      <c r="DY12" s="263"/>
      <c r="DZ12" s="263"/>
      <c r="EA12" s="263"/>
      <c r="EB12" s="263"/>
      <c r="EC12" s="263"/>
      <c r="ED12" s="263"/>
      <c r="EE12" s="263"/>
      <c r="EF12" s="263"/>
      <c r="EG12" s="263"/>
      <c r="EH12" s="263"/>
      <c r="EI12" s="263"/>
      <c r="EJ12" s="263"/>
      <c r="EK12" s="263"/>
      <c r="EL12" s="263"/>
      <c r="EM12" s="263"/>
      <c r="EN12" s="263"/>
      <c r="EO12" s="263"/>
      <c r="EP12" s="263"/>
      <c r="EQ12" s="263"/>
      <c r="ER12" s="263"/>
      <c r="ES12" s="263"/>
      <c r="ET12" s="263"/>
      <c r="EU12" s="263"/>
      <c r="EV12" s="263"/>
      <c r="EW12" s="263"/>
      <c r="EX12" s="263"/>
      <c r="EY12" s="263"/>
      <c r="EZ12" s="263"/>
      <c r="FA12" s="263"/>
      <c r="FB12" s="263"/>
      <c r="FC12" s="263"/>
      <c r="FD12" s="263"/>
      <c r="FE12" s="263"/>
      <c r="FF12" s="263"/>
      <c r="FG12" s="263"/>
      <c r="FH12" s="263"/>
      <c r="FI12" s="263"/>
      <c r="FJ12" s="263"/>
      <c r="FK12" s="263"/>
      <c r="FL12" s="263"/>
      <c r="FM12" s="263"/>
      <c r="FN12" s="263"/>
      <c r="FO12" s="263"/>
      <c r="FP12" s="263"/>
      <c r="FQ12" s="263"/>
      <c r="FR12" s="263"/>
      <c r="FS12" s="263"/>
      <c r="FT12" s="263"/>
      <c r="FU12" s="263"/>
      <c r="FV12" s="263"/>
      <c r="FW12" s="263"/>
      <c r="FX12" s="263"/>
      <c r="FY12" s="263"/>
      <c r="FZ12" s="263"/>
      <c r="GA12" s="263"/>
      <c r="GB12" s="263"/>
      <c r="GC12" s="263"/>
      <c r="GD12" s="263"/>
      <c r="GE12" s="263"/>
      <c r="GF12" s="263"/>
      <c r="GG12" s="263"/>
      <c r="GH12" s="263"/>
      <c r="GI12" s="263"/>
      <c r="GJ12" s="263"/>
      <c r="GK12" s="263"/>
      <c r="GL12" s="263"/>
      <c r="GM12" s="263"/>
      <c r="GN12" s="263"/>
      <c r="GO12" s="263"/>
      <c r="GP12" s="263"/>
      <c r="GQ12" s="263"/>
      <c r="GR12" s="263"/>
      <c r="GS12" s="263"/>
      <c r="GT12" s="263"/>
      <c r="GU12" s="263"/>
      <c r="GV12" s="263"/>
      <c r="GW12" s="263"/>
      <c r="GX12" s="263"/>
      <c r="GY12" s="263"/>
      <c r="GZ12" s="263"/>
      <c r="HA12" s="263"/>
      <c r="HB12" s="263"/>
      <c r="HC12" s="263"/>
      <c r="HD12" s="263"/>
      <c r="HE12" s="263"/>
      <c r="HF12" s="263"/>
      <c r="HG12" s="263"/>
      <c r="HH12" s="263"/>
      <c r="HI12" s="263"/>
      <c r="HJ12" s="263"/>
      <c r="HK12" s="263"/>
      <c r="HL12" s="263"/>
      <c r="HM12" s="263"/>
      <c r="HN12" s="263"/>
      <c r="HO12" s="263"/>
      <c r="HP12" s="263"/>
      <c r="HQ12" s="263"/>
      <c r="HR12" s="263"/>
      <c r="HS12" s="263"/>
      <c r="HT12" s="263"/>
      <c r="HU12" s="263"/>
      <c r="HV12" s="263"/>
      <c r="HW12" s="263"/>
      <c r="HX12" s="263"/>
      <c r="HY12" s="263"/>
      <c r="HZ12" s="263"/>
      <c r="IA12" s="263"/>
      <c r="IB12" s="263"/>
      <c r="IC12" s="263"/>
      <c r="ID12" s="263"/>
      <c r="IE12" s="263"/>
      <c r="IF12" s="263"/>
      <c r="IG12" s="263"/>
      <c r="IH12" s="263"/>
      <c r="II12" s="263"/>
      <c r="IJ12" s="263"/>
      <c r="IK12" s="263"/>
      <c r="IL12" s="263"/>
      <c r="IM12" s="263"/>
      <c r="IN12" s="263"/>
      <c r="IO12" s="263"/>
      <c r="IP12" s="263"/>
      <c r="IQ12" s="263"/>
      <c r="IR12" s="263"/>
      <c r="IS12" s="263"/>
      <c r="IT12" s="263"/>
      <c r="IU12" s="263"/>
      <c r="IV12" s="263"/>
    </row>
    <row r="13" spans="1:256" s="279" customFormat="1" ht="15" hidden="1" customHeight="1" x14ac:dyDescent="0.3">
      <c r="A13" s="638">
        <v>17130165</v>
      </c>
      <c r="B13" s="638" t="s">
        <v>378</v>
      </c>
      <c r="C13" s="638">
        <v>232.5</v>
      </c>
      <c r="D13" s="311"/>
      <c r="E13" s="305">
        <f>SUMIF(Adjustments!A:A,A13,Adjustments!C:C)</f>
        <v>0</v>
      </c>
      <c r="F13" s="278">
        <f t="shared" si="0"/>
        <v>232.5</v>
      </c>
      <c r="G13" s="263" t="str">
        <f>VLOOKUP('Trial Balance'!$A13,'Code Allocation'!$A:$D,3,0)</f>
        <v>CRA</v>
      </c>
      <c r="H13" s="266" t="str">
        <f>VLOOKUP('Trial Balance'!$A13,'Code Allocation'!$A:$D,4,0)</f>
        <v>Allotments</v>
      </c>
      <c r="I13" s="267" t="str">
        <f>VLOOKUP('Trial Balance'!$A13,'Code Allocation'!$A:$E,5,0)</f>
        <v>Premises Related Expenses</v>
      </c>
      <c r="J13" s="268" t="str">
        <f>VLOOKUP('Trial Balance'!$A13,'Code Allocation'!$A:$F,6,0)</f>
        <v>Rent</v>
      </c>
      <c r="K13" s="263"/>
      <c r="L13" s="263"/>
      <c r="M13" s="263"/>
      <c r="N13" s="263"/>
      <c r="O13" s="263"/>
      <c r="P13" s="263"/>
      <c r="Q13" s="263"/>
      <c r="R13" s="263"/>
      <c r="S13" s="263"/>
      <c r="T13" s="263"/>
      <c r="U13" s="263"/>
      <c r="V13" s="263"/>
      <c r="W13" s="263"/>
      <c r="X13" s="263"/>
      <c r="Y13" s="263"/>
      <c r="Z13" s="263"/>
      <c r="AA13" s="263"/>
      <c r="AB13" s="263"/>
      <c r="AC13" s="263"/>
      <c r="AD13" s="263"/>
      <c r="AE13" s="263"/>
      <c r="AF13" s="263"/>
      <c r="AG13" s="263"/>
      <c r="AH13" s="263"/>
      <c r="AI13" s="263"/>
      <c r="AJ13" s="263"/>
      <c r="AK13" s="263"/>
      <c r="AL13" s="263"/>
      <c r="AM13" s="263"/>
      <c r="AN13" s="263"/>
      <c r="AO13" s="263"/>
      <c r="AP13" s="263"/>
      <c r="AQ13" s="263"/>
      <c r="AR13" s="263"/>
      <c r="AS13" s="263"/>
      <c r="AT13" s="263"/>
      <c r="AU13" s="263"/>
      <c r="AV13" s="263"/>
      <c r="AW13" s="263"/>
      <c r="AX13" s="263"/>
      <c r="AY13" s="263"/>
      <c r="AZ13" s="263"/>
      <c r="BA13" s="263"/>
      <c r="BB13" s="263"/>
      <c r="BC13" s="263"/>
      <c r="BD13" s="263"/>
      <c r="BE13" s="263"/>
      <c r="BF13" s="263"/>
      <c r="BG13" s="263"/>
      <c r="BH13" s="263"/>
      <c r="BI13" s="263"/>
      <c r="BJ13" s="263"/>
      <c r="BK13" s="263"/>
      <c r="BL13" s="263"/>
      <c r="BM13" s="263"/>
      <c r="BN13" s="263"/>
      <c r="BO13" s="263"/>
      <c r="BP13" s="263"/>
      <c r="BQ13" s="263"/>
      <c r="BR13" s="263"/>
      <c r="BS13" s="263"/>
      <c r="BT13" s="263"/>
      <c r="BU13" s="263"/>
      <c r="BV13" s="263"/>
      <c r="BW13" s="263"/>
      <c r="BX13" s="263"/>
      <c r="BY13" s="263"/>
      <c r="BZ13" s="263"/>
      <c r="CA13" s="263"/>
      <c r="CB13" s="263"/>
      <c r="CC13" s="263"/>
      <c r="CD13" s="263"/>
      <c r="CE13" s="263"/>
      <c r="CF13" s="263"/>
      <c r="CG13" s="263"/>
      <c r="CH13" s="263"/>
      <c r="CI13" s="263"/>
      <c r="CJ13" s="263"/>
      <c r="CK13" s="263"/>
      <c r="CL13" s="263"/>
      <c r="CM13" s="263"/>
      <c r="CN13" s="263"/>
      <c r="CO13" s="263"/>
      <c r="CP13" s="263"/>
      <c r="CQ13" s="263"/>
      <c r="CR13" s="263"/>
      <c r="CS13" s="263"/>
      <c r="CT13" s="263"/>
      <c r="CU13" s="263"/>
      <c r="CV13" s="263"/>
      <c r="CW13" s="263"/>
      <c r="CX13" s="263"/>
      <c r="CY13" s="263"/>
      <c r="CZ13" s="263"/>
      <c r="DA13" s="263"/>
      <c r="DB13" s="263"/>
      <c r="DC13" s="263"/>
      <c r="DD13" s="263"/>
      <c r="DE13" s="263"/>
      <c r="DF13" s="263"/>
      <c r="DG13" s="263"/>
      <c r="DH13" s="263"/>
      <c r="DI13" s="263"/>
      <c r="DJ13" s="263"/>
      <c r="DK13" s="263"/>
      <c r="DL13" s="263"/>
      <c r="DM13" s="263"/>
      <c r="DN13" s="263"/>
      <c r="DO13" s="263"/>
      <c r="DP13" s="263"/>
      <c r="DQ13" s="263"/>
      <c r="DR13" s="263"/>
      <c r="DS13" s="263"/>
      <c r="DT13" s="263"/>
      <c r="DU13" s="263"/>
      <c r="DV13" s="263"/>
      <c r="DW13" s="263"/>
      <c r="DX13" s="263"/>
      <c r="DY13" s="263"/>
      <c r="DZ13" s="263"/>
      <c r="EA13" s="263"/>
      <c r="EB13" s="263"/>
      <c r="EC13" s="263"/>
      <c r="ED13" s="263"/>
      <c r="EE13" s="263"/>
      <c r="EF13" s="263"/>
      <c r="EG13" s="263"/>
      <c r="EH13" s="263"/>
      <c r="EI13" s="263"/>
      <c r="EJ13" s="263"/>
      <c r="EK13" s="263"/>
      <c r="EL13" s="263"/>
      <c r="EM13" s="263"/>
      <c r="EN13" s="263"/>
      <c r="EO13" s="263"/>
      <c r="EP13" s="263"/>
      <c r="EQ13" s="263"/>
      <c r="ER13" s="263"/>
      <c r="ES13" s="263"/>
      <c r="ET13" s="263"/>
      <c r="EU13" s="263"/>
      <c r="EV13" s="263"/>
      <c r="EW13" s="263"/>
      <c r="EX13" s="263"/>
      <c r="EY13" s="263"/>
      <c r="EZ13" s="263"/>
      <c r="FA13" s="263"/>
      <c r="FB13" s="263"/>
      <c r="FC13" s="263"/>
      <c r="FD13" s="263"/>
      <c r="FE13" s="263"/>
      <c r="FF13" s="263"/>
      <c r="FG13" s="263"/>
      <c r="FH13" s="263"/>
      <c r="FI13" s="263"/>
      <c r="FJ13" s="263"/>
      <c r="FK13" s="263"/>
      <c r="FL13" s="263"/>
      <c r="FM13" s="263"/>
      <c r="FN13" s="263"/>
      <c r="FO13" s="263"/>
      <c r="FP13" s="263"/>
      <c r="FQ13" s="263"/>
      <c r="FR13" s="263"/>
      <c r="FS13" s="263"/>
      <c r="FT13" s="263"/>
      <c r="FU13" s="263"/>
      <c r="FV13" s="263"/>
      <c r="FW13" s="263"/>
      <c r="FX13" s="263"/>
      <c r="FY13" s="263"/>
      <c r="FZ13" s="263"/>
      <c r="GA13" s="263"/>
      <c r="GB13" s="263"/>
      <c r="GC13" s="263"/>
      <c r="GD13" s="263"/>
      <c r="GE13" s="263"/>
      <c r="GF13" s="263"/>
      <c r="GG13" s="263"/>
      <c r="GH13" s="263"/>
      <c r="GI13" s="263"/>
      <c r="GJ13" s="263"/>
      <c r="GK13" s="263"/>
      <c r="GL13" s="263"/>
      <c r="GM13" s="263"/>
      <c r="GN13" s="263"/>
      <c r="GO13" s="263"/>
      <c r="GP13" s="263"/>
      <c r="GQ13" s="263"/>
      <c r="GR13" s="263"/>
      <c r="GS13" s="263"/>
      <c r="GT13" s="263"/>
      <c r="GU13" s="263"/>
      <c r="GV13" s="263"/>
      <c r="GW13" s="263"/>
      <c r="GX13" s="263"/>
      <c r="GY13" s="263"/>
      <c r="GZ13" s="263"/>
      <c r="HA13" s="263"/>
      <c r="HB13" s="263"/>
      <c r="HC13" s="263"/>
      <c r="HD13" s="263"/>
      <c r="HE13" s="263"/>
      <c r="HF13" s="263"/>
      <c r="HG13" s="263"/>
      <c r="HH13" s="263"/>
      <c r="HI13" s="263"/>
      <c r="HJ13" s="263"/>
      <c r="HK13" s="263"/>
      <c r="HL13" s="263"/>
      <c r="HM13" s="263"/>
      <c r="HN13" s="263"/>
      <c r="HO13" s="263"/>
      <c r="HP13" s="263"/>
      <c r="HQ13" s="263"/>
      <c r="HR13" s="263"/>
      <c r="HS13" s="263"/>
      <c r="HT13" s="263"/>
      <c r="HU13" s="263"/>
      <c r="HV13" s="263"/>
      <c r="HW13" s="263"/>
      <c r="HX13" s="263"/>
      <c r="HY13" s="263"/>
      <c r="HZ13" s="263"/>
      <c r="IA13" s="263"/>
      <c r="IB13" s="263"/>
      <c r="IC13" s="263"/>
      <c r="ID13" s="263"/>
      <c r="IE13" s="263"/>
      <c r="IF13" s="263"/>
      <c r="IG13" s="263"/>
      <c r="IH13" s="263"/>
      <c r="II13" s="263"/>
      <c r="IJ13" s="263"/>
      <c r="IK13" s="263"/>
      <c r="IL13" s="263"/>
      <c r="IM13" s="263"/>
      <c r="IN13" s="263"/>
      <c r="IO13" s="263"/>
      <c r="IP13" s="263"/>
      <c r="IQ13" s="263"/>
      <c r="IR13" s="263"/>
      <c r="IS13" s="263"/>
      <c r="IT13" s="263"/>
      <c r="IU13" s="263"/>
      <c r="IV13" s="263"/>
    </row>
    <row r="14" spans="1:256" s="279" customFormat="1" ht="15" hidden="1" customHeight="1" x14ac:dyDescent="0.3">
      <c r="A14" s="638">
        <v>17300199</v>
      </c>
      <c r="B14" s="638" t="s">
        <v>379</v>
      </c>
      <c r="C14" s="638">
        <v>61.28</v>
      </c>
      <c r="D14" s="311"/>
      <c r="E14" s="305">
        <f>SUMIF(Adjustments!A:A,A14,Adjustments!C:C)</f>
        <v>0</v>
      </c>
      <c r="F14" s="278">
        <f t="shared" si="0"/>
        <v>61.28</v>
      </c>
      <c r="G14" s="263" t="str">
        <f>VLOOKUP('Trial Balance'!$A14,'Code Allocation'!$A:$D,3,0)</f>
        <v>CRA</v>
      </c>
      <c r="H14" s="266" t="str">
        <f>VLOOKUP('Trial Balance'!$A14,'Code Allocation'!$A:$D,4,0)</f>
        <v>Allotments</v>
      </c>
      <c r="I14" s="267" t="str">
        <f>VLOOKUP('Trial Balance'!$A14,'Code Allocation'!$A:$E,5,0)</f>
        <v>Transport related expenses</v>
      </c>
      <c r="J14" s="268" t="str">
        <f>VLOOKUP('Trial Balance'!$A14,'Code Allocation'!$A:$F,6,0)</f>
        <v>Pick-up</v>
      </c>
      <c r="K14" s="263"/>
      <c r="L14" s="263"/>
      <c r="M14" s="263"/>
      <c r="N14" s="263"/>
      <c r="O14" s="263"/>
      <c r="P14" s="263"/>
      <c r="Q14" s="263"/>
      <c r="R14" s="263"/>
      <c r="S14" s="263"/>
      <c r="T14" s="263"/>
      <c r="U14" s="263"/>
      <c r="V14" s="263"/>
      <c r="W14" s="263"/>
      <c r="X14" s="263"/>
      <c r="Y14" s="263"/>
      <c r="Z14" s="263"/>
      <c r="AA14" s="263"/>
      <c r="AB14" s="263"/>
      <c r="AC14" s="263"/>
      <c r="AD14" s="263"/>
      <c r="AE14" s="263"/>
      <c r="AF14" s="263"/>
      <c r="AG14" s="263"/>
      <c r="AH14" s="263"/>
      <c r="AI14" s="263"/>
      <c r="AJ14" s="263"/>
      <c r="AK14" s="263"/>
      <c r="AL14" s="263"/>
      <c r="AM14" s="263"/>
      <c r="AN14" s="263"/>
      <c r="AO14" s="263"/>
      <c r="AP14" s="263"/>
      <c r="AQ14" s="263"/>
      <c r="AR14" s="263"/>
      <c r="AS14" s="263"/>
      <c r="AT14" s="263"/>
      <c r="AU14" s="263"/>
      <c r="AV14" s="263"/>
      <c r="AW14" s="263"/>
      <c r="AX14" s="263"/>
      <c r="AY14" s="263"/>
      <c r="AZ14" s="263"/>
      <c r="BA14" s="263"/>
      <c r="BB14" s="263"/>
      <c r="BC14" s="263"/>
      <c r="BD14" s="263"/>
      <c r="BE14" s="263"/>
      <c r="BF14" s="263"/>
      <c r="BG14" s="263"/>
      <c r="BH14" s="263"/>
      <c r="BI14" s="263"/>
      <c r="BJ14" s="263"/>
      <c r="BK14" s="263"/>
      <c r="BL14" s="263"/>
      <c r="BM14" s="263"/>
      <c r="BN14" s="263"/>
      <c r="BO14" s="263"/>
      <c r="BP14" s="263"/>
      <c r="BQ14" s="263"/>
      <c r="BR14" s="263"/>
      <c r="BS14" s="263"/>
      <c r="BT14" s="263"/>
      <c r="BU14" s="263"/>
      <c r="BV14" s="263"/>
      <c r="BW14" s="263"/>
      <c r="BX14" s="263"/>
      <c r="BY14" s="263"/>
      <c r="BZ14" s="263"/>
      <c r="CA14" s="263"/>
      <c r="CB14" s="263"/>
      <c r="CC14" s="263"/>
      <c r="CD14" s="263"/>
      <c r="CE14" s="263"/>
      <c r="CF14" s="263"/>
      <c r="CG14" s="263"/>
      <c r="CH14" s="263"/>
      <c r="CI14" s="263"/>
      <c r="CJ14" s="263"/>
      <c r="CK14" s="263"/>
      <c r="CL14" s="263"/>
      <c r="CM14" s="263"/>
      <c r="CN14" s="263"/>
      <c r="CO14" s="263"/>
      <c r="CP14" s="263"/>
      <c r="CQ14" s="263"/>
      <c r="CR14" s="263"/>
      <c r="CS14" s="263"/>
      <c r="CT14" s="263"/>
      <c r="CU14" s="263"/>
      <c r="CV14" s="263"/>
      <c r="CW14" s="263"/>
      <c r="CX14" s="263"/>
      <c r="CY14" s="263"/>
      <c r="CZ14" s="263"/>
      <c r="DA14" s="263"/>
      <c r="DB14" s="263"/>
      <c r="DC14" s="263"/>
      <c r="DD14" s="263"/>
      <c r="DE14" s="263"/>
      <c r="DF14" s="263"/>
      <c r="DG14" s="263"/>
      <c r="DH14" s="263"/>
      <c r="DI14" s="263"/>
      <c r="DJ14" s="263"/>
      <c r="DK14" s="263"/>
      <c r="DL14" s="263"/>
      <c r="DM14" s="263"/>
      <c r="DN14" s="263"/>
      <c r="DO14" s="263"/>
      <c r="DP14" s="263"/>
      <c r="DQ14" s="263"/>
      <c r="DR14" s="263"/>
      <c r="DS14" s="263"/>
      <c r="DT14" s="263"/>
      <c r="DU14" s="263"/>
      <c r="DV14" s="263"/>
      <c r="DW14" s="263"/>
      <c r="DX14" s="263"/>
      <c r="DY14" s="263"/>
      <c r="DZ14" s="263"/>
      <c r="EA14" s="263"/>
      <c r="EB14" s="263"/>
      <c r="EC14" s="263"/>
      <c r="ED14" s="263"/>
      <c r="EE14" s="263"/>
      <c r="EF14" s="263"/>
      <c r="EG14" s="263"/>
      <c r="EH14" s="263"/>
      <c r="EI14" s="263"/>
      <c r="EJ14" s="263"/>
      <c r="EK14" s="263"/>
      <c r="EL14" s="263"/>
      <c r="EM14" s="263"/>
      <c r="EN14" s="263"/>
      <c r="EO14" s="263"/>
      <c r="EP14" s="263"/>
      <c r="EQ14" s="263"/>
      <c r="ER14" s="263"/>
      <c r="ES14" s="263"/>
      <c r="ET14" s="263"/>
      <c r="EU14" s="263"/>
      <c r="EV14" s="263"/>
      <c r="EW14" s="263"/>
      <c r="EX14" s="263"/>
      <c r="EY14" s="263"/>
      <c r="EZ14" s="263"/>
      <c r="FA14" s="263"/>
      <c r="FB14" s="263"/>
      <c r="FC14" s="263"/>
      <c r="FD14" s="263"/>
      <c r="FE14" s="263"/>
      <c r="FF14" s="263"/>
      <c r="FG14" s="263"/>
      <c r="FH14" s="263"/>
      <c r="FI14" s="263"/>
      <c r="FJ14" s="263"/>
      <c r="FK14" s="263"/>
      <c r="FL14" s="263"/>
      <c r="FM14" s="263"/>
      <c r="FN14" s="263"/>
      <c r="FO14" s="263"/>
      <c r="FP14" s="263"/>
      <c r="FQ14" s="263"/>
      <c r="FR14" s="263"/>
      <c r="FS14" s="263"/>
      <c r="FT14" s="263"/>
      <c r="FU14" s="263"/>
      <c r="FV14" s="263"/>
      <c r="FW14" s="263"/>
      <c r="FX14" s="263"/>
      <c r="FY14" s="263"/>
      <c r="FZ14" s="263"/>
      <c r="GA14" s="263"/>
      <c r="GB14" s="263"/>
      <c r="GC14" s="263"/>
      <c r="GD14" s="263"/>
      <c r="GE14" s="263"/>
      <c r="GF14" s="263"/>
      <c r="GG14" s="263"/>
      <c r="GH14" s="263"/>
      <c r="GI14" s="263"/>
      <c r="GJ14" s="263"/>
      <c r="GK14" s="263"/>
      <c r="GL14" s="263"/>
      <c r="GM14" s="263"/>
      <c r="GN14" s="263"/>
      <c r="GO14" s="263"/>
      <c r="GP14" s="263"/>
      <c r="GQ14" s="263"/>
      <c r="GR14" s="263"/>
      <c r="GS14" s="263"/>
      <c r="GT14" s="263"/>
      <c r="GU14" s="263"/>
      <c r="GV14" s="263"/>
      <c r="GW14" s="263"/>
      <c r="GX14" s="263"/>
      <c r="GY14" s="263"/>
      <c r="GZ14" s="263"/>
      <c r="HA14" s="263"/>
      <c r="HB14" s="263"/>
      <c r="HC14" s="263"/>
      <c r="HD14" s="263"/>
      <c r="HE14" s="263"/>
      <c r="HF14" s="263"/>
      <c r="HG14" s="263"/>
      <c r="HH14" s="263"/>
      <c r="HI14" s="263"/>
      <c r="HJ14" s="263"/>
      <c r="HK14" s="263"/>
      <c r="HL14" s="263"/>
      <c r="HM14" s="263"/>
      <c r="HN14" s="263"/>
      <c r="HO14" s="263"/>
      <c r="HP14" s="263"/>
      <c r="HQ14" s="263"/>
      <c r="HR14" s="263"/>
      <c r="HS14" s="263"/>
      <c r="HT14" s="263"/>
      <c r="HU14" s="263"/>
      <c r="HV14" s="263"/>
      <c r="HW14" s="263"/>
      <c r="HX14" s="263"/>
      <c r="HY14" s="263"/>
      <c r="HZ14" s="263"/>
      <c r="IA14" s="263"/>
      <c r="IB14" s="263"/>
      <c r="IC14" s="263"/>
      <c r="ID14" s="263"/>
      <c r="IE14" s="263"/>
      <c r="IF14" s="263"/>
      <c r="IG14" s="263"/>
      <c r="IH14" s="263"/>
      <c r="II14" s="263"/>
      <c r="IJ14" s="263"/>
      <c r="IK14" s="263"/>
      <c r="IL14" s="263"/>
      <c r="IM14" s="263"/>
      <c r="IN14" s="263"/>
      <c r="IO14" s="263"/>
      <c r="IP14" s="263"/>
      <c r="IQ14" s="263"/>
      <c r="IR14" s="263"/>
      <c r="IS14" s="263"/>
      <c r="IT14" s="263"/>
      <c r="IU14" s="263"/>
      <c r="IV14" s="263"/>
    </row>
    <row r="15" spans="1:256" s="279" customFormat="1" ht="15" hidden="1" customHeight="1" x14ac:dyDescent="0.3">
      <c r="A15" s="638">
        <v>17300299</v>
      </c>
      <c r="B15" s="638" t="s">
        <v>379</v>
      </c>
      <c r="C15" s="638">
        <v>33.76</v>
      </c>
      <c r="D15" s="311"/>
      <c r="E15" s="305">
        <f>SUMIF(Adjustments!A:A,A15,Adjustments!C:C)</f>
        <v>0</v>
      </c>
      <c r="F15" s="278">
        <f t="shared" si="0"/>
        <v>33.76</v>
      </c>
      <c r="G15" s="263" t="str">
        <f>VLOOKUP('Trial Balance'!$A15,'Code Allocation'!$A:$D,3,0)</f>
        <v>CRA</v>
      </c>
      <c r="H15" s="266" t="str">
        <f>VLOOKUP('Trial Balance'!$A15,'Code Allocation'!$A:$D,4,0)</f>
        <v>Allotments</v>
      </c>
      <c r="I15" s="267" t="str">
        <f>VLOOKUP('Trial Balance'!$A15,'Code Allocation'!$A:$E,5,0)</f>
        <v>Transport related expenses</v>
      </c>
      <c r="J15" s="268" t="str">
        <f>VLOOKUP('Trial Balance'!$A15,'Code Allocation'!$A:$F,6,0)</f>
        <v>Pick-up</v>
      </c>
      <c r="K15" s="263"/>
      <c r="L15" s="263"/>
      <c r="M15" s="263"/>
      <c r="N15" s="263"/>
      <c r="O15" s="263"/>
      <c r="P15" s="263"/>
      <c r="Q15" s="263"/>
      <c r="R15" s="263"/>
      <c r="S15" s="263"/>
      <c r="T15" s="263"/>
      <c r="U15" s="263"/>
      <c r="V15" s="263"/>
      <c r="W15" s="263"/>
      <c r="X15" s="263"/>
      <c r="Y15" s="263"/>
      <c r="Z15" s="263"/>
      <c r="AA15" s="263"/>
      <c r="AB15" s="263"/>
      <c r="AC15" s="263"/>
      <c r="AD15" s="263"/>
      <c r="AE15" s="263"/>
      <c r="AF15" s="263"/>
      <c r="AG15" s="263"/>
      <c r="AH15" s="263"/>
      <c r="AI15" s="263"/>
      <c r="AJ15" s="263"/>
      <c r="AK15" s="263"/>
      <c r="AL15" s="263"/>
      <c r="AM15" s="263"/>
      <c r="AN15" s="263"/>
      <c r="AO15" s="263"/>
      <c r="AP15" s="263"/>
      <c r="AQ15" s="263"/>
      <c r="AR15" s="263"/>
      <c r="AS15" s="263"/>
      <c r="AT15" s="263"/>
      <c r="AU15" s="263"/>
      <c r="AV15" s="263"/>
      <c r="AW15" s="263"/>
      <c r="AX15" s="263"/>
      <c r="AY15" s="263"/>
      <c r="AZ15" s="263"/>
      <c r="BA15" s="263"/>
      <c r="BB15" s="263"/>
      <c r="BC15" s="263"/>
      <c r="BD15" s="263"/>
      <c r="BE15" s="263"/>
      <c r="BF15" s="263"/>
      <c r="BG15" s="263"/>
      <c r="BH15" s="263"/>
      <c r="BI15" s="263"/>
      <c r="BJ15" s="263"/>
      <c r="BK15" s="263"/>
      <c r="BL15" s="263"/>
      <c r="BM15" s="263"/>
      <c r="BN15" s="263"/>
      <c r="BO15" s="263"/>
      <c r="BP15" s="263"/>
      <c r="BQ15" s="263"/>
      <c r="BR15" s="263"/>
      <c r="BS15" s="263"/>
      <c r="BT15" s="263"/>
      <c r="BU15" s="263"/>
      <c r="BV15" s="263"/>
      <c r="BW15" s="263"/>
      <c r="BX15" s="263"/>
      <c r="BY15" s="263"/>
      <c r="BZ15" s="263"/>
      <c r="CA15" s="263"/>
      <c r="CB15" s="263"/>
      <c r="CC15" s="263"/>
      <c r="CD15" s="263"/>
      <c r="CE15" s="263"/>
      <c r="CF15" s="263"/>
      <c r="CG15" s="263"/>
      <c r="CH15" s="263"/>
      <c r="CI15" s="263"/>
      <c r="CJ15" s="263"/>
      <c r="CK15" s="263"/>
      <c r="CL15" s="263"/>
      <c r="CM15" s="263"/>
      <c r="CN15" s="263"/>
      <c r="CO15" s="263"/>
      <c r="CP15" s="263"/>
      <c r="CQ15" s="263"/>
      <c r="CR15" s="263"/>
      <c r="CS15" s="263"/>
      <c r="CT15" s="263"/>
      <c r="CU15" s="263"/>
      <c r="CV15" s="263"/>
      <c r="CW15" s="263"/>
      <c r="CX15" s="263"/>
      <c r="CY15" s="263"/>
      <c r="CZ15" s="263"/>
      <c r="DA15" s="263"/>
      <c r="DB15" s="263"/>
      <c r="DC15" s="263"/>
      <c r="DD15" s="263"/>
      <c r="DE15" s="263"/>
      <c r="DF15" s="263"/>
      <c r="DG15" s="263"/>
      <c r="DH15" s="263"/>
      <c r="DI15" s="263"/>
      <c r="DJ15" s="263"/>
      <c r="DK15" s="263"/>
      <c r="DL15" s="263"/>
      <c r="DM15" s="263"/>
      <c r="DN15" s="263"/>
      <c r="DO15" s="263"/>
      <c r="DP15" s="263"/>
      <c r="DQ15" s="263"/>
      <c r="DR15" s="263"/>
      <c r="DS15" s="263"/>
      <c r="DT15" s="263"/>
      <c r="DU15" s="263"/>
      <c r="DV15" s="263"/>
      <c r="DW15" s="263"/>
      <c r="DX15" s="263"/>
      <c r="DY15" s="263"/>
      <c r="DZ15" s="263"/>
      <c r="EA15" s="263"/>
      <c r="EB15" s="263"/>
      <c r="EC15" s="263"/>
      <c r="ED15" s="263"/>
      <c r="EE15" s="263"/>
      <c r="EF15" s="263"/>
      <c r="EG15" s="263"/>
      <c r="EH15" s="263"/>
      <c r="EI15" s="263"/>
      <c r="EJ15" s="263"/>
      <c r="EK15" s="263"/>
      <c r="EL15" s="263"/>
      <c r="EM15" s="263"/>
      <c r="EN15" s="263"/>
      <c r="EO15" s="263"/>
      <c r="EP15" s="263"/>
      <c r="EQ15" s="263"/>
      <c r="ER15" s="263"/>
      <c r="ES15" s="263"/>
      <c r="ET15" s="263"/>
      <c r="EU15" s="263"/>
      <c r="EV15" s="263"/>
      <c r="EW15" s="263"/>
      <c r="EX15" s="263"/>
      <c r="EY15" s="263"/>
      <c r="EZ15" s="263"/>
      <c r="FA15" s="263"/>
      <c r="FB15" s="263"/>
      <c r="FC15" s="263"/>
      <c r="FD15" s="263"/>
      <c r="FE15" s="263"/>
      <c r="FF15" s="263"/>
      <c r="FG15" s="263"/>
      <c r="FH15" s="263"/>
      <c r="FI15" s="263"/>
      <c r="FJ15" s="263"/>
      <c r="FK15" s="263"/>
      <c r="FL15" s="263"/>
      <c r="FM15" s="263"/>
      <c r="FN15" s="263"/>
      <c r="FO15" s="263"/>
      <c r="FP15" s="263"/>
      <c r="FQ15" s="263"/>
      <c r="FR15" s="263"/>
      <c r="FS15" s="263"/>
      <c r="FT15" s="263"/>
      <c r="FU15" s="263"/>
      <c r="FV15" s="263"/>
      <c r="FW15" s="263"/>
      <c r="FX15" s="263"/>
      <c r="FY15" s="263"/>
      <c r="FZ15" s="263"/>
      <c r="GA15" s="263"/>
      <c r="GB15" s="263"/>
      <c r="GC15" s="263"/>
      <c r="GD15" s="263"/>
      <c r="GE15" s="263"/>
      <c r="GF15" s="263"/>
      <c r="GG15" s="263"/>
      <c r="GH15" s="263"/>
      <c r="GI15" s="263"/>
      <c r="GJ15" s="263"/>
      <c r="GK15" s="263"/>
      <c r="GL15" s="263"/>
      <c r="GM15" s="263"/>
      <c r="GN15" s="263"/>
      <c r="GO15" s="263"/>
      <c r="GP15" s="263"/>
      <c r="GQ15" s="263"/>
      <c r="GR15" s="263"/>
      <c r="GS15" s="263"/>
      <c r="GT15" s="263"/>
      <c r="GU15" s="263"/>
      <c r="GV15" s="263"/>
      <c r="GW15" s="263"/>
      <c r="GX15" s="263"/>
      <c r="GY15" s="263"/>
      <c r="GZ15" s="263"/>
      <c r="HA15" s="263"/>
      <c r="HB15" s="263"/>
      <c r="HC15" s="263"/>
      <c r="HD15" s="263"/>
      <c r="HE15" s="263"/>
      <c r="HF15" s="263"/>
      <c r="HG15" s="263"/>
      <c r="HH15" s="263"/>
      <c r="HI15" s="263"/>
      <c r="HJ15" s="263"/>
      <c r="HK15" s="263"/>
      <c r="HL15" s="263"/>
      <c r="HM15" s="263"/>
      <c r="HN15" s="263"/>
      <c r="HO15" s="263"/>
      <c r="HP15" s="263"/>
      <c r="HQ15" s="263"/>
      <c r="HR15" s="263"/>
      <c r="HS15" s="263"/>
      <c r="HT15" s="263"/>
      <c r="HU15" s="263"/>
      <c r="HV15" s="263"/>
      <c r="HW15" s="263"/>
      <c r="HX15" s="263"/>
      <c r="HY15" s="263"/>
      <c r="HZ15" s="263"/>
      <c r="IA15" s="263"/>
      <c r="IB15" s="263"/>
      <c r="IC15" s="263"/>
      <c r="ID15" s="263"/>
      <c r="IE15" s="263"/>
      <c r="IF15" s="263"/>
      <c r="IG15" s="263"/>
      <c r="IH15" s="263"/>
      <c r="II15" s="263"/>
      <c r="IJ15" s="263"/>
      <c r="IK15" s="263"/>
      <c r="IL15" s="263"/>
      <c r="IM15" s="263"/>
      <c r="IN15" s="263"/>
      <c r="IO15" s="263"/>
      <c r="IP15" s="263"/>
      <c r="IQ15" s="263"/>
      <c r="IR15" s="263"/>
      <c r="IS15" s="263"/>
      <c r="IT15" s="263"/>
      <c r="IU15" s="263"/>
      <c r="IV15" s="263"/>
    </row>
    <row r="16" spans="1:256" s="279" customFormat="1" ht="15" hidden="1" customHeight="1" x14ac:dyDescent="0.3">
      <c r="A16" s="638">
        <v>17300399</v>
      </c>
      <c r="B16" s="638" t="s">
        <v>379</v>
      </c>
      <c r="C16" s="638">
        <v>64.12</v>
      </c>
      <c r="D16" s="311"/>
      <c r="E16" s="305">
        <f>SUMIF(Adjustments!A:A,A16,Adjustments!C:C)</f>
        <v>0</v>
      </c>
      <c r="F16" s="639">
        <f t="shared" si="0"/>
        <v>64.12</v>
      </c>
      <c r="G16" s="263" t="str">
        <f>VLOOKUP('Trial Balance'!$A16,'Code Allocation'!$A:$D,3,0)</f>
        <v>CRA</v>
      </c>
      <c r="H16" s="266" t="str">
        <f>VLOOKUP('Trial Balance'!$A16,'Code Allocation'!$A:$D,4,0)</f>
        <v>Allotments</v>
      </c>
      <c r="I16" s="267" t="str">
        <f>VLOOKUP('Trial Balance'!$A16,'Code Allocation'!$A:$E,5,0)</f>
        <v>Transport related expenses</v>
      </c>
      <c r="J16" s="268" t="str">
        <f>VLOOKUP('Trial Balance'!$A16,'Code Allocation'!$A:$F,6,0)</f>
        <v>Pick-up</v>
      </c>
      <c r="K16" s="263"/>
      <c r="L16" s="263"/>
      <c r="M16" s="263"/>
      <c r="N16" s="263"/>
      <c r="O16" s="263"/>
      <c r="P16" s="263"/>
      <c r="Q16" s="263"/>
      <c r="R16" s="263"/>
      <c r="S16" s="263"/>
      <c r="T16" s="263"/>
      <c r="U16" s="263"/>
      <c r="V16" s="263"/>
      <c r="W16" s="263"/>
      <c r="X16" s="263"/>
      <c r="Y16" s="263"/>
      <c r="Z16" s="263"/>
      <c r="AA16" s="263"/>
      <c r="AB16" s="263"/>
      <c r="AC16" s="263"/>
      <c r="AD16" s="263"/>
      <c r="AE16" s="263"/>
      <c r="AF16" s="263"/>
      <c r="AG16" s="263"/>
      <c r="AH16" s="263"/>
      <c r="AI16" s="263"/>
      <c r="AJ16" s="263"/>
      <c r="AK16" s="263"/>
      <c r="AL16" s="263"/>
      <c r="AM16" s="263"/>
      <c r="AN16" s="263"/>
      <c r="AO16" s="263"/>
      <c r="AP16" s="263"/>
      <c r="AQ16" s="263"/>
      <c r="AR16" s="263"/>
      <c r="AS16" s="263"/>
      <c r="AT16" s="263"/>
      <c r="AU16" s="263"/>
      <c r="AV16" s="263"/>
      <c r="AW16" s="263"/>
      <c r="AX16" s="263"/>
      <c r="AY16" s="263"/>
      <c r="AZ16" s="263"/>
      <c r="BA16" s="263"/>
      <c r="BB16" s="263"/>
      <c r="BC16" s="263"/>
      <c r="BD16" s="263"/>
      <c r="BE16" s="263"/>
      <c r="BF16" s="263"/>
      <c r="BG16" s="263"/>
      <c r="BH16" s="263"/>
      <c r="BI16" s="263"/>
      <c r="BJ16" s="263"/>
      <c r="BK16" s="263"/>
      <c r="BL16" s="263"/>
      <c r="BM16" s="263"/>
      <c r="BN16" s="263"/>
      <c r="BO16" s="263"/>
      <c r="BP16" s="263"/>
      <c r="BQ16" s="263"/>
      <c r="BR16" s="263"/>
      <c r="BS16" s="263"/>
      <c r="BT16" s="263"/>
      <c r="BU16" s="263"/>
      <c r="BV16" s="263"/>
      <c r="BW16" s="263"/>
      <c r="BX16" s="263"/>
      <c r="BY16" s="263"/>
      <c r="BZ16" s="263"/>
      <c r="CA16" s="263"/>
      <c r="CB16" s="263"/>
      <c r="CC16" s="263"/>
      <c r="CD16" s="263"/>
      <c r="CE16" s="263"/>
      <c r="CF16" s="263"/>
      <c r="CG16" s="263"/>
      <c r="CH16" s="263"/>
      <c r="CI16" s="263"/>
      <c r="CJ16" s="263"/>
      <c r="CK16" s="263"/>
      <c r="CL16" s="263"/>
      <c r="CM16" s="263"/>
      <c r="CN16" s="263"/>
      <c r="CO16" s="263"/>
      <c r="CP16" s="263"/>
      <c r="CQ16" s="263"/>
      <c r="CR16" s="263"/>
      <c r="CS16" s="263"/>
      <c r="CT16" s="263"/>
      <c r="CU16" s="263"/>
      <c r="CV16" s="263"/>
      <c r="CW16" s="263"/>
      <c r="CX16" s="263"/>
      <c r="CY16" s="263"/>
      <c r="CZ16" s="263"/>
      <c r="DA16" s="263"/>
      <c r="DB16" s="263"/>
      <c r="DC16" s="263"/>
      <c r="DD16" s="263"/>
      <c r="DE16" s="263"/>
      <c r="DF16" s="263"/>
      <c r="DG16" s="263"/>
      <c r="DH16" s="263"/>
      <c r="DI16" s="263"/>
      <c r="DJ16" s="263"/>
      <c r="DK16" s="263"/>
      <c r="DL16" s="263"/>
      <c r="DM16" s="263"/>
      <c r="DN16" s="263"/>
      <c r="DO16" s="263"/>
      <c r="DP16" s="263"/>
      <c r="DQ16" s="263"/>
      <c r="DR16" s="263"/>
      <c r="DS16" s="263"/>
      <c r="DT16" s="263"/>
      <c r="DU16" s="263"/>
      <c r="DV16" s="263"/>
      <c r="DW16" s="263"/>
      <c r="DX16" s="263"/>
      <c r="DY16" s="263"/>
      <c r="DZ16" s="263"/>
      <c r="EA16" s="263"/>
      <c r="EB16" s="263"/>
      <c r="EC16" s="263"/>
      <c r="ED16" s="263"/>
      <c r="EE16" s="263"/>
      <c r="EF16" s="263"/>
      <c r="EG16" s="263"/>
      <c r="EH16" s="263"/>
      <c r="EI16" s="263"/>
      <c r="EJ16" s="263"/>
      <c r="EK16" s="263"/>
      <c r="EL16" s="263"/>
      <c r="EM16" s="263"/>
      <c r="EN16" s="263"/>
      <c r="EO16" s="263"/>
      <c r="EP16" s="263"/>
      <c r="EQ16" s="263"/>
      <c r="ER16" s="263"/>
      <c r="ES16" s="263"/>
      <c r="ET16" s="263"/>
      <c r="EU16" s="263"/>
      <c r="EV16" s="263"/>
      <c r="EW16" s="263"/>
      <c r="EX16" s="263"/>
      <c r="EY16" s="263"/>
      <c r="EZ16" s="263"/>
      <c r="FA16" s="263"/>
      <c r="FB16" s="263"/>
      <c r="FC16" s="263"/>
      <c r="FD16" s="263"/>
      <c r="FE16" s="263"/>
      <c r="FF16" s="263"/>
      <c r="FG16" s="263"/>
      <c r="FH16" s="263"/>
      <c r="FI16" s="263"/>
      <c r="FJ16" s="263"/>
      <c r="FK16" s="263"/>
      <c r="FL16" s="263"/>
      <c r="FM16" s="263"/>
      <c r="FN16" s="263"/>
      <c r="FO16" s="263"/>
      <c r="FP16" s="263"/>
      <c r="FQ16" s="263"/>
      <c r="FR16" s="263"/>
      <c r="FS16" s="263"/>
      <c r="FT16" s="263"/>
      <c r="FU16" s="263"/>
      <c r="FV16" s="263"/>
      <c r="FW16" s="263"/>
      <c r="FX16" s="263"/>
      <c r="FY16" s="263"/>
      <c r="FZ16" s="263"/>
      <c r="GA16" s="263"/>
      <c r="GB16" s="263"/>
      <c r="GC16" s="263"/>
      <c r="GD16" s="263"/>
      <c r="GE16" s="263"/>
      <c r="GF16" s="263"/>
      <c r="GG16" s="263"/>
      <c r="GH16" s="263"/>
      <c r="GI16" s="263"/>
      <c r="GJ16" s="263"/>
      <c r="GK16" s="263"/>
      <c r="GL16" s="263"/>
      <c r="GM16" s="263"/>
      <c r="GN16" s="263"/>
      <c r="GO16" s="263"/>
      <c r="GP16" s="263"/>
      <c r="GQ16" s="263"/>
      <c r="GR16" s="263"/>
      <c r="GS16" s="263"/>
      <c r="GT16" s="263"/>
      <c r="GU16" s="263"/>
      <c r="GV16" s="263"/>
      <c r="GW16" s="263"/>
      <c r="GX16" s="263"/>
      <c r="GY16" s="263"/>
      <c r="GZ16" s="263"/>
      <c r="HA16" s="263"/>
      <c r="HB16" s="263"/>
      <c r="HC16" s="263"/>
      <c r="HD16" s="263"/>
      <c r="HE16" s="263"/>
      <c r="HF16" s="263"/>
      <c r="HG16" s="263"/>
      <c r="HH16" s="263"/>
      <c r="HI16" s="263"/>
      <c r="HJ16" s="263"/>
      <c r="HK16" s="263"/>
      <c r="HL16" s="263"/>
      <c r="HM16" s="263"/>
      <c r="HN16" s="263"/>
      <c r="HO16" s="263"/>
      <c r="HP16" s="263"/>
      <c r="HQ16" s="263"/>
      <c r="HR16" s="263"/>
      <c r="HS16" s="263"/>
      <c r="HT16" s="263"/>
      <c r="HU16" s="263"/>
      <c r="HV16" s="263"/>
      <c r="HW16" s="263"/>
      <c r="HX16" s="263"/>
      <c r="HY16" s="263"/>
      <c r="HZ16" s="263"/>
      <c r="IA16" s="263"/>
      <c r="IB16" s="263"/>
      <c r="IC16" s="263"/>
      <c r="ID16" s="263"/>
      <c r="IE16" s="263"/>
      <c r="IF16" s="263"/>
      <c r="IG16" s="263"/>
      <c r="IH16" s="263"/>
      <c r="II16" s="263"/>
      <c r="IJ16" s="263"/>
      <c r="IK16" s="263"/>
      <c r="IL16" s="263"/>
      <c r="IM16" s="263"/>
      <c r="IN16" s="263"/>
      <c r="IO16" s="263"/>
      <c r="IP16" s="263"/>
      <c r="IQ16" s="263"/>
      <c r="IR16" s="263"/>
      <c r="IS16" s="263"/>
      <c r="IT16" s="263"/>
      <c r="IU16" s="263"/>
      <c r="IV16" s="263"/>
    </row>
    <row r="17" spans="1:256" ht="15" hidden="1" customHeight="1" x14ac:dyDescent="0.3">
      <c r="A17" s="638">
        <v>17310199</v>
      </c>
      <c r="B17" s="638" t="s">
        <v>380</v>
      </c>
      <c r="C17" s="638">
        <v>61.28</v>
      </c>
      <c r="D17" s="311"/>
      <c r="E17" s="305">
        <f>SUMIF(Adjustments!A:A,A17,Adjustments!C:C)</f>
        <v>0</v>
      </c>
      <c r="F17" s="278">
        <f t="shared" si="0"/>
        <v>61.28</v>
      </c>
      <c r="G17" s="263" t="str">
        <f>VLOOKUP('Trial Balance'!$A17,'Code Allocation'!$A:$D,3,0)</f>
        <v>CRA</v>
      </c>
      <c r="H17" s="266" t="str">
        <f>VLOOKUP('Trial Balance'!$A17,'Code Allocation'!$A:$D,4,0)</f>
        <v>Allotments</v>
      </c>
      <c r="I17" s="267" t="str">
        <f>VLOOKUP('Trial Balance'!$A17,'Code Allocation'!$A:$E,5,0)</f>
        <v>Transport related expenses</v>
      </c>
      <c r="J17" s="268" t="str">
        <f>VLOOKUP('Trial Balance'!$A17,'Code Allocation'!$A:$F,6,0)</f>
        <v>Pick-up</v>
      </c>
    </row>
    <row r="18" spans="1:256" ht="15" hidden="1" customHeight="1" x14ac:dyDescent="0.3">
      <c r="A18" s="638">
        <v>17310299</v>
      </c>
      <c r="B18" s="638" t="s">
        <v>381</v>
      </c>
      <c r="C18" s="638">
        <v>46.93</v>
      </c>
      <c r="D18" s="311"/>
      <c r="E18" s="305">
        <f>SUMIF(Adjustments!A:A,A18,Adjustments!C:C)</f>
        <v>0</v>
      </c>
      <c r="F18" s="278">
        <f t="shared" si="0"/>
        <v>46.93</v>
      </c>
      <c r="G18" s="263" t="str">
        <f>VLOOKUP('Trial Balance'!$A18,'Code Allocation'!$A:$D,3,0)</f>
        <v>CRA</v>
      </c>
      <c r="H18" s="266" t="str">
        <f>VLOOKUP('Trial Balance'!$A18,'Code Allocation'!$A:$D,4,0)</f>
        <v>Allotments</v>
      </c>
      <c r="I18" s="267" t="str">
        <f>VLOOKUP('Trial Balance'!$A18,'Code Allocation'!$A:$E,5,0)</f>
        <v>Transport related expenses</v>
      </c>
      <c r="J18" s="268" t="str">
        <f>VLOOKUP('Trial Balance'!$A18,'Code Allocation'!$A:$F,6,0)</f>
        <v>Pick-up</v>
      </c>
    </row>
    <row r="19" spans="1:256" ht="15" hidden="1" customHeight="1" x14ac:dyDescent="0.3">
      <c r="A19" s="638">
        <v>17310399</v>
      </c>
      <c r="B19" s="638" t="s">
        <v>382</v>
      </c>
      <c r="C19" s="638">
        <v>42</v>
      </c>
      <c r="D19" s="311"/>
      <c r="E19" s="305">
        <f>SUMIF(Adjustments!A:A,A19,Adjustments!C:C)</f>
        <v>0</v>
      </c>
      <c r="F19" s="278">
        <f t="shared" si="0"/>
        <v>42</v>
      </c>
      <c r="G19" s="263" t="str">
        <f>VLOOKUP('Trial Balance'!$A19,'Code Allocation'!$A:$D,3,0)</f>
        <v>CRA</v>
      </c>
      <c r="H19" s="266" t="str">
        <f>VLOOKUP('Trial Balance'!$A19,'Code Allocation'!$A:$D,4,0)</f>
        <v>Allotments</v>
      </c>
      <c r="I19" s="267" t="str">
        <f>VLOOKUP('Trial Balance'!$A19,'Code Allocation'!$A:$E,5,0)</f>
        <v>Transport related expenses</v>
      </c>
      <c r="J19" s="268" t="str">
        <f>VLOOKUP('Trial Balance'!$A19,'Code Allocation'!$A:$F,6,0)</f>
        <v>Pick-up</v>
      </c>
    </row>
    <row r="20" spans="1:256" s="279" customFormat="1" ht="15" hidden="1" customHeight="1" x14ac:dyDescent="0.3">
      <c r="A20" s="638">
        <v>17320199</v>
      </c>
      <c r="B20" s="638" t="s">
        <v>383</v>
      </c>
      <c r="C20" s="638">
        <v>75.819999999999993</v>
      </c>
      <c r="D20" s="311"/>
      <c r="E20" s="305">
        <f>SUMIF(Adjustments!A:A,A20,Adjustments!C:C)</f>
        <v>0</v>
      </c>
      <c r="F20" s="278">
        <f t="shared" si="0"/>
        <v>75.819999999999993</v>
      </c>
      <c r="G20" s="263" t="str">
        <f>VLOOKUP('Trial Balance'!$A20,'Code Allocation'!$A:$D,3,0)</f>
        <v>CRA</v>
      </c>
      <c r="H20" s="266" t="str">
        <f>VLOOKUP('Trial Balance'!$A20,'Code Allocation'!$A:$D,4,0)</f>
        <v>Allotments</v>
      </c>
      <c r="I20" s="267" t="str">
        <f>VLOOKUP('Trial Balance'!$A20,'Code Allocation'!$A:$E,5,0)</f>
        <v>Transport related expenses</v>
      </c>
      <c r="J20" s="268" t="str">
        <f>VLOOKUP('Trial Balance'!$A20,'Code Allocation'!$A:$F,6,0)</f>
        <v>Tractor</v>
      </c>
      <c r="K20" s="263"/>
      <c r="L20" s="263"/>
      <c r="M20" s="263"/>
      <c r="N20" s="263"/>
      <c r="O20" s="263"/>
      <c r="P20" s="263"/>
      <c r="Q20" s="263"/>
      <c r="R20" s="263"/>
      <c r="S20" s="263"/>
      <c r="T20" s="263"/>
      <c r="U20" s="263"/>
      <c r="V20" s="263"/>
      <c r="W20" s="263"/>
      <c r="X20" s="263"/>
      <c r="Y20" s="263"/>
      <c r="Z20" s="263"/>
      <c r="AA20" s="263"/>
      <c r="AB20" s="263"/>
      <c r="AC20" s="263"/>
      <c r="AD20" s="263"/>
      <c r="AE20" s="263"/>
      <c r="AF20" s="263"/>
      <c r="AG20" s="263"/>
      <c r="AH20" s="263"/>
      <c r="AI20" s="263"/>
      <c r="AJ20" s="263"/>
      <c r="AK20" s="263"/>
      <c r="AL20" s="263"/>
      <c r="AM20" s="263"/>
      <c r="AN20" s="263"/>
      <c r="AO20" s="263"/>
      <c r="AP20" s="263"/>
      <c r="AQ20" s="263"/>
      <c r="AR20" s="263"/>
      <c r="AS20" s="263"/>
      <c r="AT20" s="263"/>
      <c r="AU20" s="263"/>
      <c r="AV20" s="263"/>
      <c r="AW20" s="263"/>
      <c r="AX20" s="263"/>
      <c r="AY20" s="263"/>
      <c r="AZ20" s="263"/>
      <c r="BA20" s="263"/>
      <c r="BB20" s="263"/>
      <c r="BC20" s="263"/>
      <c r="BD20" s="263"/>
      <c r="BE20" s="263"/>
      <c r="BF20" s="263"/>
      <c r="BG20" s="263"/>
      <c r="BH20" s="263"/>
      <c r="BI20" s="263"/>
      <c r="BJ20" s="263"/>
      <c r="BK20" s="263"/>
      <c r="BL20" s="263"/>
      <c r="BM20" s="263"/>
      <c r="BN20" s="263"/>
      <c r="BO20" s="263"/>
      <c r="BP20" s="263"/>
      <c r="BQ20" s="263"/>
      <c r="BR20" s="263"/>
      <c r="BS20" s="263"/>
      <c r="BT20" s="263"/>
      <c r="BU20" s="263"/>
      <c r="BV20" s="263"/>
      <c r="BW20" s="263"/>
      <c r="BX20" s="263"/>
      <c r="BY20" s="263"/>
      <c r="BZ20" s="263"/>
      <c r="CA20" s="263"/>
      <c r="CB20" s="263"/>
      <c r="CC20" s="263"/>
      <c r="CD20" s="263"/>
      <c r="CE20" s="263"/>
      <c r="CF20" s="263"/>
      <c r="CG20" s="263"/>
      <c r="CH20" s="263"/>
      <c r="CI20" s="263"/>
      <c r="CJ20" s="263"/>
      <c r="CK20" s="263"/>
      <c r="CL20" s="263"/>
      <c r="CM20" s="263"/>
      <c r="CN20" s="263"/>
      <c r="CO20" s="263"/>
      <c r="CP20" s="263"/>
      <c r="CQ20" s="263"/>
      <c r="CR20" s="263"/>
      <c r="CS20" s="263"/>
      <c r="CT20" s="263"/>
      <c r="CU20" s="263"/>
      <c r="CV20" s="263"/>
      <c r="CW20" s="263"/>
      <c r="CX20" s="263"/>
      <c r="CY20" s="263"/>
      <c r="CZ20" s="263"/>
      <c r="DA20" s="263"/>
      <c r="DB20" s="263"/>
      <c r="DC20" s="263"/>
      <c r="DD20" s="263"/>
      <c r="DE20" s="263"/>
      <c r="DF20" s="263"/>
      <c r="DG20" s="263"/>
      <c r="DH20" s="263"/>
      <c r="DI20" s="263"/>
      <c r="DJ20" s="263"/>
      <c r="DK20" s="263"/>
      <c r="DL20" s="263"/>
      <c r="DM20" s="263"/>
      <c r="DN20" s="263"/>
      <c r="DO20" s="263"/>
      <c r="DP20" s="263"/>
      <c r="DQ20" s="263"/>
      <c r="DR20" s="263"/>
      <c r="DS20" s="263"/>
      <c r="DT20" s="263"/>
      <c r="DU20" s="263"/>
      <c r="DV20" s="263"/>
      <c r="DW20" s="263"/>
      <c r="DX20" s="263"/>
      <c r="DY20" s="263"/>
      <c r="DZ20" s="263"/>
      <c r="EA20" s="263"/>
      <c r="EB20" s="263"/>
      <c r="EC20" s="263"/>
      <c r="ED20" s="263"/>
      <c r="EE20" s="263"/>
      <c r="EF20" s="263"/>
      <c r="EG20" s="263"/>
      <c r="EH20" s="263"/>
      <c r="EI20" s="263"/>
      <c r="EJ20" s="263"/>
      <c r="EK20" s="263"/>
      <c r="EL20" s="263"/>
      <c r="EM20" s="263"/>
      <c r="EN20" s="263"/>
      <c r="EO20" s="263"/>
      <c r="EP20" s="263"/>
      <c r="EQ20" s="263"/>
      <c r="ER20" s="263"/>
      <c r="ES20" s="263"/>
      <c r="ET20" s="263"/>
      <c r="EU20" s="263"/>
      <c r="EV20" s="263"/>
      <c r="EW20" s="263"/>
      <c r="EX20" s="263"/>
      <c r="EY20" s="263"/>
      <c r="EZ20" s="263"/>
      <c r="FA20" s="263"/>
      <c r="FB20" s="263"/>
      <c r="FC20" s="263"/>
      <c r="FD20" s="263"/>
      <c r="FE20" s="263"/>
      <c r="FF20" s="263"/>
      <c r="FG20" s="263"/>
      <c r="FH20" s="263"/>
      <c r="FI20" s="263"/>
      <c r="FJ20" s="263"/>
      <c r="FK20" s="263"/>
      <c r="FL20" s="263"/>
      <c r="FM20" s="263"/>
      <c r="FN20" s="263"/>
      <c r="FO20" s="263"/>
      <c r="FP20" s="263"/>
      <c r="FQ20" s="263"/>
      <c r="FR20" s="263"/>
      <c r="FS20" s="263"/>
      <c r="FT20" s="263"/>
      <c r="FU20" s="263"/>
      <c r="FV20" s="263"/>
      <c r="FW20" s="263"/>
      <c r="FX20" s="263"/>
      <c r="FY20" s="263"/>
      <c r="FZ20" s="263"/>
      <c r="GA20" s="263"/>
      <c r="GB20" s="263"/>
      <c r="GC20" s="263"/>
      <c r="GD20" s="263"/>
      <c r="GE20" s="263"/>
      <c r="GF20" s="263"/>
      <c r="GG20" s="263"/>
      <c r="GH20" s="263"/>
      <c r="GI20" s="263"/>
      <c r="GJ20" s="263"/>
      <c r="GK20" s="263"/>
      <c r="GL20" s="263"/>
      <c r="GM20" s="263"/>
      <c r="GN20" s="263"/>
      <c r="GO20" s="263"/>
      <c r="GP20" s="263"/>
      <c r="GQ20" s="263"/>
      <c r="GR20" s="263"/>
      <c r="GS20" s="263"/>
      <c r="GT20" s="263"/>
      <c r="GU20" s="263"/>
      <c r="GV20" s="263"/>
      <c r="GW20" s="263"/>
      <c r="GX20" s="263"/>
      <c r="GY20" s="263"/>
      <c r="GZ20" s="263"/>
      <c r="HA20" s="263"/>
      <c r="HB20" s="263"/>
      <c r="HC20" s="263"/>
      <c r="HD20" s="263"/>
      <c r="HE20" s="263"/>
      <c r="HF20" s="263"/>
      <c r="HG20" s="263"/>
      <c r="HH20" s="263"/>
      <c r="HI20" s="263"/>
      <c r="HJ20" s="263"/>
      <c r="HK20" s="263"/>
      <c r="HL20" s="263"/>
      <c r="HM20" s="263"/>
      <c r="HN20" s="263"/>
      <c r="HO20" s="263"/>
      <c r="HP20" s="263"/>
      <c r="HQ20" s="263"/>
      <c r="HR20" s="263"/>
      <c r="HS20" s="263"/>
      <c r="HT20" s="263"/>
      <c r="HU20" s="263"/>
      <c r="HV20" s="263"/>
      <c r="HW20" s="263"/>
      <c r="HX20" s="263"/>
      <c r="HY20" s="263"/>
      <c r="HZ20" s="263"/>
      <c r="IA20" s="263"/>
      <c r="IB20" s="263"/>
      <c r="IC20" s="263"/>
      <c r="ID20" s="263"/>
      <c r="IE20" s="263"/>
      <c r="IF20" s="263"/>
      <c r="IG20" s="263"/>
      <c r="IH20" s="263"/>
      <c r="II20" s="263"/>
      <c r="IJ20" s="263"/>
      <c r="IK20" s="263"/>
      <c r="IL20" s="263"/>
      <c r="IM20" s="263"/>
      <c r="IN20" s="263"/>
      <c r="IO20" s="263"/>
      <c r="IP20" s="263"/>
      <c r="IQ20" s="263"/>
      <c r="IR20" s="263"/>
      <c r="IS20" s="263"/>
      <c r="IT20" s="263"/>
      <c r="IU20" s="263"/>
      <c r="IV20" s="263"/>
    </row>
    <row r="21" spans="1:256" s="279" customFormat="1" ht="15" hidden="1" customHeight="1" x14ac:dyDescent="0.3">
      <c r="A21" s="638">
        <v>17320299</v>
      </c>
      <c r="B21" s="638" t="s">
        <v>384</v>
      </c>
      <c r="C21" s="638">
        <v>19.41</v>
      </c>
      <c r="D21" s="311"/>
      <c r="E21" s="305">
        <f>SUMIF(Adjustments!A:A,A21,Adjustments!C:C)</f>
        <v>0</v>
      </c>
      <c r="F21" s="278">
        <f t="shared" si="0"/>
        <v>19.41</v>
      </c>
      <c r="G21" s="263" t="str">
        <f>VLOOKUP('Trial Balance'!$A21,'Code Allocation'!$A:$D,3,0)</f>
        <v>CRA</v>
      </c>
      <c r="H21" s="266" t="str">
        <f>VLOOKUP('Trial Balance'!$A21,'Code Allocation'!$A:$D,4,0)</f>
        <v>Allotments</v>
      </c>
      <c r="I21" s="267" t="str">
        <f>VLOOKUP('Trial Balance'!$A21,'Code Allocation'!$A:$E,5,0)</f>
        <v>Transport related expenses</v>
      </c>
      <c r="J21" s="268" t="str">
        <f>VLOOKUP('Trial Balance'!$A21,'Code Allocation'!$A:$F,6,0)</f>
        <v>Tractor</v>
      </c>
      <c r="K21" s="263"/>
      <c r="L21" s="263"/>
      <c r="M21" s="263"/>
      <c r="N21" s="263"/>
      <c r="O21" s="263"/>
      <c r="P21" s="263"/>
      <c r="Q21" s="263"/>
      <c r="R21" s="263"/>
      <c r="S21" s="263"/>
      <c r="T21" s="263"/>
      <c r="U21" s="263"/>
      <c r="V21" s="263"/>
      <c r="W21" s="263"/>
      <c r="X21" s="263"/>
      <c r="Y21" s="263"/>
      <c r="Z21" s="263"/>
      <c r="AA21" s="263"/>
      <c r="AB21" s="263"/>
      <c r="AC21" s="263"/>
      <c r="AD21" s="263"/>
      <c r="AE21" s="263"/>
      <c r="AF21" s="263"/>
      <c r="AG21" s="263"/>
      <c r="AH21" s="263"/>
      <c r="AI21" s="263"/>
      <c r="AJ21" s="263"/>
      <c r="AK21" s="263"/>
      <c r="AL21" s="263"/>
      <c r="AM21" s="263"/>
      <c r="AN21" s="263"/>
      <c r="AO21" s="263"/>
      <c r="AP21" s="263"/>
      <c r="AQ21" s="263"/>
      <c r="AR21" s="263"/>
      <c r="AS21" s="263"/>
      <c r="AT21" s="263"/>
      <c r="AU21" s="263"/>
      <c r="AV21" s="263"/>
      <c r="AW21" s="263"/>
      <c r="AX21" s="263"/>
      <c r="AY21" s="263"/>
      <c r="AZ21" s="263"/>
      <c r="BA21" s="263"/>
      <c r="BB21" s="263"/>
      <c r="BC21" s="263"/>
      <c r="BD21" s="263"/>
      <c r="BE21" s="263"/>
      <c r="BF21" s="263"/>
      <c r="BG21" s="263"/>
      <c r="BH21" s="263"/>
      <c r="BI21" s="263"/>
      <c r="BJ21" s="263"/>
      <c r="BK21" s="263"/>
      <c r="BL21" s="263"/>
      <c r="BM21" s="263"/>
      <c r="BN21" s="263"/>
      <c r="BO21" s="263"/>
      <c r="BP21" s="263"/>
      <c r="BQ21" s="263"/>
      <c r="BR21" s="263"/>
      <c r="BS21" s="263"/>
      <c r="BT21" s="263"/>
      <c r="BU21" s="263"/>
      <c r="BV21" s="263"/>
      <c r="BW21" s="263"/>
      <c r="BX21" s="263"/>
      <c r="BY21" s="263"/>
      <c r="BZ21" s="263"/>
      <c r="CA21" s="263"/>
      <c r="CB21" s="263"/>
      <c r="CC21" s="263"/>
      <c r="CD21" s="263"/>
      <c r="CE21" s="263"/>
      <c r="CF21" s="263"/>
      <c r="CG21" s="263"/>
      <c r="CH21" s="263"/>
      <c r="CI21" s="263"/>
      <c r="CJ21" s="263"/>
      <c r="CK21" s="263"/>
      <c r="CL21" s="263"/>
      <c r="CM21" s="263"/>
      <c r="CN21" s="263"/>
      <c r="CO21" s="263"/>
      <c r="CP21" s="263"/>
      <c r="CQ21" s="263"/>
      <c r="CR21" s="263"/>
      <c r="CS21" s="263"/>
      <c r="CT21" s="263"/>
      <c r="CU21" s="263"/>
      <c r="CV21" s="263"/>
      <c r="CW21" s="263"/>
      <c r="CX21" s="263"/>
      <c r="CY21" s="263"/>
      <c r="CZ21" s="263"/>
      <c r="DA21" s="263"/>
      <c r="DB21" s="263"/>
      <c r="DC21" s="263"/>
      <c r="DD21" s="263"/>
      <c r="DE21" s="263"/>
      <c r="DF21" s="263"/>
      <c r="DG21" s="263"/>
      <c r="DH21" s="263"/>
      <c r="DI21" s="263"/>
      <c r="DJ21" s="263"/>
      <c r="DK21" s="263"/>
      <c r="DL21" s="263"/>
      <c r="DM21" s="263"/>
      <c r="DN21" s="263"/>
      <c r="DO21" s="263"/>
      <c r="DP21" s="263"/>
      <c r="DQ21" s="263"/>
      <c r="DR21" s="263"/>
      <c r="DS21" s="263"/>
      <c r="DT21" s="263"/>
      <c r="DU21" s="263"/>
      <c r="DV21" s="263"/>
      <c r="DW21" s="263"/>
      <c r="DX21" s="263"/>
      <c r="DY21" s="263"/>
      <c r="DZ21" s="263"/>
      <c r="EA21" s="263"/>
      <c r="EB21" s="263"/>
      <c r="EC21" s="263"/>
      <c r="ED21" s="263"/>
      <c r="EE21" s="263"/>
      <c r="EF21" s="263"/>
      <c r="EG21" s="263"/>
      <c r="EH21" s="263"/>
      <c r="EI21" s="263"/>
      <c r="EJ21" s="263"/>
      <c r="EK21" s="263"/>
      <c r="EL21" s="263"/>
      <c r="EM21" s="263"/>
      <c r="EN21" s="263"/>
      <c r="EO21" s="263"/>
      <c r="EP21" s="263"/>
      <c r="EQ21" s="263"/>
      <c r="ER21" s="263"/>
      <c r="ES21" s="263"/>
      <c r="ET21" s="263"/>
      <c r="EU21" s="263"/>
      <c r="EV21" s="263"/>
      <c r="EW21" s="263"/>
      <c r="EX21" s="263"/>
      <c r="EY21" s="263"/>
      <c r="EZ21" s="263"/>
      <c r="FA21" s="263"/>
      <c r="FB21" s="263"/>
      <c r="FC21" s="263"/>
      <c r="FD21" s="263"/>
      <c r="FE21" s="263"/>
      <c r="FF21" s="263"/>
      <c r="FG21" s="263"/>
      <c r="FH21" s="263"/>
      <c r="FI21" s="263"/>
      <c r="FJ21" s="263"/>
      <c r="FK21" s="263"/>
      <c r="FL21" s="263"/>
      <c r="FM21" s="263"/>
      <c r="FN21" s="263"/>
      <c r="FO21" s="263"/>
      <c r="FP21" s="263"/>
      <c r="FQ21" s="263"/>
      <c r="FR21" s="263"/>
      <c r="FS21" s="263"/>
      <c r="FT21" s="263"/>
      <c r="FU21" s="263"/>
      <c r="FV21" s="263"/>
      <c r="FW21" s="263"/>
      <c r="FX21" s="263"/>
      <c r="FY21" s="263"/>
      <c r="FZ21" s="263"/>
      <c r="GA21" s="263"/>
      <c r="GB21" s="263"/>
      <c r="GC21" s="263"/>
      <c r="GD21" s="263"/>
      <c r="GE21" s="263"/>
      <c r="GF21" s="263"/>
      <c r="GG21" s="263"/>
      <c r="GH21" s="263"/>
      <c r="GI21" s="263"/>
      <c r="GJ21" s="263"/>
      <c r="GK21" s="263"/>
      <c r="GL21" s="263"/>
      <c r="GM21" s="263"/>
      <c r="GN21" s="263"/>
      <c r="GO21" s="263"/>
      <c r="GP21" s="263"/>
      <c r="GQ21" s="263"/>
      <c r="GR21" s="263"/>
      <c r="GS21" s="263"/>
      <c r="GT21" s="263"/>
      <c r="GU21" s="263"/>
      <c r="GV21" s="263"/>
      <c r="GW21" s="263"/>
      <c r="GX21" s="263"/>
      <c r="GY21" s="263"/>
      <c r="GZ21" s="263"/>
      <c r="HA21" s="263"/>
      <c r="HB21" s="263"/>
      <c r="HC21" s="263"/>
      <c r="HD21" s="263"/>
      <c r="HE21" s="263"/>
      <c r="HF21" s="263"/>
      <c r="HG21" s="263"/>
      <c r="HH21" s="263"/>
      <c r="HI21" s="263"/>
      <c r="HJ21" s="263"/>
      <c r="HK21" s="263"/>
      <c r="HL21" s="263"/>
      <c r="HM21" s="263"/>
      <c r="HN21" s="263"/>
      <c r="HO21" s="263"/>
      <c r="HP21" s="263"/>
      <c r="HQ21" s="263"/>
      <c r="HR21" s="263"/>
      <c r="HS21" s="263"/>
      <c r="HT21" s="263"/>
      <c r="HU21" s="263"/>
      <c r="HV21" s="263"/>
      <c r="HW21" s="263"/>
      <c r="HX21" s="263"/>
      <c r="HY21" s="263"/>
      <c r="HZ21" s="263"/>
      <c r="IA21" s="263"/>
      <c r="IB21" s="263"/>
      <c r="IC21" s="263"/>
      <c r="ID21" s="263"/>
      <c r="IE21" s="263"/>
      <c r="IF21" s="263"/>
      <c r="IG21" s="263"/>
      <c r="IH21" s="263"/>
      <c r="II21" s="263"/>
      <c r="IJ21" s="263"/>
      <c r="IK21" s="263"/>
      <c r="IL21" s="263"/>
      <c r="IM21" s="263"/>
      <c r="IN21" s="263"/>
      <c r="IO21" s="263"/>
      <c r="IP21" s="263"/>
      <c r="IQ21" s="263"/>
      <c r="IR21" s="263"/>
      <c r="IS21" s="263"/>
      <c r="IT21" s="263"/>
      <c r="IU21" s="263"/>
      <c r="IV21" s="263"/>
    </row>
    <row r="22" spans="1:256" s="279" customFormat="1" ht="15" customHeight="1" x14ac:dyDescent="0.3">
      <c r="A22" s="638">
        <v>17330199</v>
      </c>
      <c r="B22" s="638" t="s">
        <v>385</v>
      </c>
      <c r="C22" s="638">
        <v>2.91</v>
      </c>
      <c r="D22" s="311"/>
      <c r="E22" s="305">
        <f>SUMIF(Adjustments!A:A,A22,Adjustments!C:C)</f>
        <v>0</v>
      </c>
      <c r="F22" s="278">
        <f t="shared" si="0"/>
        <v>2.91</v>
      </c>
      <c r="G22" s="263" t="str">
        <f>VLOOKUP('Trial Balance'!$A22,'Code Allocation'!$A:$D,3,0)</f>
        <v>CRA</v>
      </c>
      <c r="H22" s="266" t="str">
        <f>VLOOKUP('Trial Balance'!$A22,'Code Allocation'!$A:$D,4,0)</f>
        <v>Parks, gardens &amp; open Spaces</v>
      </c>
      <c r="I22" s="267" t="str">
        <f>VLOOKUP('Trial Balance'!$A22,'Code Allocation'!$A:$E,5,0)</f>
        <v>Transport related expenses</v>
      </c>
      <c r="J22" s="268" t="str">
        <f>VLOOKUP('Trial Balance'!$A22,'Code Allocation'!$A:$F,6,0)</f>
        <v>Tractor</v>
      </c>
      <c r="K22" s="263"/>
      <c r="L22" s="263"/>
      <c r="M22" s="263"/>
      <c r="N22" s="263"/>
      <c r="O22" s="263"/>
      <c r="P22" s="263"/>
      <c r="Q22" s="263"/>
      <c r="R22" s="263"/>
      <c r="S22" s="263"/>
      <c r="T22" s="263"/>
      <c r="U22" s="263"/>
      <c r="V22" s="263"/>
      <c r="W22" s="263"/>
      <c r="X22" s="263"/>
      <c r="Y22" s="263"/>
      <c r="Z22" s="263"/>
      <c r="AA22" s="263"/>
      <c r="AB22" s="263"/>
      <c r="AC22" s="263"/>
      <c r="AD22" s="263"/>
      <c r="AE22" s="263"/>
      <c r="AF22" s="263"/>
      <c r="AG22" s="263"/>
      <c r="AH22" s="263"/>
      <c r="AI22" s="263"/>
      <c r="AJ22" s="263"/>
      <c r="AK22" s="263"/>
      <c r="AL22" s="263"/>
      <c r="AM22" s="263"/>
      <c r="AN22" s="263"/>
      <c r="AO22" s="263"/>
      <c r="AP22" s="263"/>
      <c r="AQ22" s="263"/>
      <c r="AR22" s="263"/>
      <c r="AS22" s="263"/>
      <c r="AT22" s="263"/>
      <c r="AU22" s="263"/>
      <c r="AV22" s="263"/>
      <c r="AW22" s="263"/>
      <c r="AX22" s="263"/>
      <c r="AY22" s="263"/>
      <c r="AZ22" s="263"/>
      <c r="BA22" s="263"/>
      <c r="BB22" s="263"/>
      <c r="BC22" s="263"/>
      <c r="BD22" s="263"/>
      <c r="BE22" s="263"/>
      <c r="BF22" s="263"/>
      <c r="BG22" s="263"/>
      <c r="BH22" s="263"/>
      <c r="BI22" s="263"/>
      <c r="BJ22" s="263"/>
      <c r="BK22" s="263"/>
      <c r="BL22" s="263"/>
      <c r="BM22" s="263"/>
      <c r="BN22" s="263"/>
      <c r="BO22" s="263"/>
      <c r="BP22" s="263"/>
      <c r="BQ22" s="263"/>
      <c r="BR22" s="263"/>
      <c r="BS22" s="263"/>
      <c r="BT22" s="263"/>
      <c r="BU22" s="263"/>
      <c r="BV22" s="263"/>
      <c r="BW22" s="263"/>
      <c r="BX22" s="263"/>
      <c r="BY22" s="263"/>
      <c r="BZ22" s="263"/>
      <c r="CA22" s="263"/>
      <c r="CB22" s="263"/>
      <c r="CC22" s="263"/>
      <c r="CD22" s="263"/>
      <c r="CE22" s="263"/>
      <c r="CF22" s="263"/>
      <c r="CG22" s="263"/>
      <c r="CH22" s="263"/>
      <c r="CI22" s="263"/>
      <c r="CJ22" s="263"/>
      <c r="CK22" s="263"/>
      <c r="CL22" s="263"/>
      <c r="CM22" s="263"/>
      <c r="CN22" s="263"/>
      <c r="CO22" s="263"/>
      <c r="CP22" s="263"/>
      <c r="CQ22" s="263"/>
      <c r="CR22" s="263"/>
      <c r="CS22" s="263"/>
      <c r="CT22" s="263"/>
      <c r="CU22" s="263"/>
      <c r="CV22" s="263"/>
      <c r="CW22" s="263"/>
      <c r="CX22" s="263"/>
      <c r="CY22" s="263"/>
      <c r="CZ22" s="263"/>
      <c r="DA22" s="263"/>
      <c r="DB22" s="263"/>
      <c r="DC22" s="263"/>
      <c r="DD22" s="263"/>
      <c r="DE22" s="263"/>
      <c r="DF22" s="263"/>
      <c r="DG22" s="263"/>
      <c r="DH22" s="263"/>
      <c r="DI22" s="263"/>
      <c r="DJ22" s="263"/>
      <c r="DK22" s="263"/>
      <c r="DL22" s="263"/>
      <c r="DM22" s="263"/>
      <c r="DN22" s="263"/>
      <c r="DO22" s="263"/>
      <c r="DP22" s="263"/>
      <c r="DQ22" s="263"/>
      <c r="DR22" s="263"/>
      <c r="DS22" s="263"/>
      <c r="DT22" s="263"/>
      <c r="DU22" s="263"/>
      <c r="DV22" s="263"/>
      <c r="DW22" s="263"/>
      <c r="DX22" s="263"/>
      <c r="DY22" s="263"/>
      <c r="DZ22" s="263"/>
      <c r="EA22" s="263"/>
      <c r="EB22" s="263"/>
      <c r="EC22" s="263"/>
      <c r="ED22" s="263"/>
      <c r="EE22" s="263"/>
      <c r="EF22" s="263"/>
      <c r="EG22" s="263"/>
      <c r="EH22" s="263"/>
      <c r="EI22" s="263"/>
      <c r="EJ22" s="263"/>
      <c r="EK22" s="263"/>
      <c r="EL22" s="263"/>
      <c r="EM22" s="263"/>
      <c r="EN22" s="263"/>
      <c r="EO22" s="263"/>
      <c r="EP22" s="263"/>
      <c r="EQ22" s="263"/>
      <c r="ER22" s="263"/>
      <c r="ES22" s="263"/>
      <c r="ET22" s="263"/>
      <c r="EU22" s="263"/>
      <c r="EV22" s="263"/>
      <c r="EW22" s="263"/>
      <c r="EX22" s="263"/>
      <c r="EY22" s="263"/>
      <c r="EZ22" s="263"/>
      <c r="FA22" s="263"/>
      <c r="FB22" s="263"/>
      <c r="FC22" s="263"/>
      <c r="FD22" s="263"/>
      <c r="FE22" s="263"/>
      <c r="FF22" s="263"/>
      <c r="FG22" s="263"/>
      <c r="FH22" s="263"/>
      <c r="FI22" s="263"/>
      <c r="FJ22" s="263"/>
      <c r="FK22" s="263"/>
      <c r="FL22" s="263"/>
      <c r="FM22" s="263"/>
      <c r="FN22" s="263"/>
      <c r="FO22" s="263"/>
      <c r="FP22" s="263"/>
      <c r="FQ22" s="263"/>
      <c r="FR22" s="263"/>
      <c r="FS22" s="263"/>
      <c r="FT22" s="263"/>
      <c r="FU22" s="263"/>
      <c r="FV22" s="263"/>
      <c r="FW22" s="263"/>
      <c r="FX22" s="263"/>
      <c r="FY22" s="263"/>
      <c r="FZ22" s="263"/>
      <c r="GA22" s="263"/>
      <c r="GB22" s="263"/>
      <c r="GC22" s="263"/>
      <c r="GD22" s="263"/>
      <c r="GE22" s="263"/>
      <c r="GF22" s="263"/>
      <c r="GG22" s="263"/>
      <c r="GH22" s="263"/>
      <c r="GI22" s="263"/>
      <c r="GJ22" s="263"/>
      <c r="GK22" s="263"/>
      <c r="GL22" s="263"/>
      <c r="GM22" s="263"/>
      <c r="GN22" s="263"/>
      <c r="GO22" s="263"/>
      <c r="GP22" s="263"/>
      <c r="GQ22" s="263"/>
      <c r="GR22" s="263"/>
      <c r="GS22" s="263"/>
      <c r="GT22" s="263"/>
      <c r="GU22" s="263"/>
      <c r="GV22" s="263"/>
      <c r="GW22" s="263"/>
      <c r="GX22" s="263"/>
      <c r="GY22" s="263"/>
      <c r="GZ22" s="263"/>
      <c r="HA22" s="263"/>
      <c r="HB22" s="263"/>
      <c r="HC22" s="263"/>
      <c r="HD22" s="263"/>
      <c r="HE22" s="263"/>
      <c r="HF22" s="263"/>
      <c r="HG22" s="263"/>
      <c r="HH22" s="263"/>
      <c r="HI22" s="263"/>
      <c r="HJ22" s="263"/>
      <c r="HK22" s="263"/>
      <c r="HL22" s="263"/>
      <c r="HM22" s="263"/>
      <c r="HN22" s="263"/>
      <c r="HO22" s="263"/>
      <c r="HP22" s="263"/>
      <c r="HQ22" s="263"/>
      <c r="HR22" s="263"/>
      <c r="HS22" s="263"/>
      <c r="HT22" s="263"/>
      <c r="HU22" s="263"/>
      <c r="HV22" s="263"/>
      <c r="HW22" s="263"/>
      <c r="HX22" s="263"/>
      <c r="HY22" s="263"/>
      <c r="HZ22" s="263"/>
      <c r="IA22" s="263"/>
      <c r="IB22" s="263"/>
      <c r="IC22" s="263"/>
      <c r="ID22" s="263"/>
      <c r="IE22" s="263"/>
      <c r="IF22" s="263"/>
      <c r="IG22" s="263"/>
      <c r="IH22" s="263"/>
      <c r="II22" s="263"/>
      <c r="IJ22" s="263"/>
      <c r="IK22" s="263"/>
      <c r="IL22" s="263"/>
      <c r="IM22" s="263"/>
      <c r="IN22" s="263"/>
      <c r="IO22" s="263"/>
      <c r="IP22" s="263"/>
      <c r="IQ22" s="263"/>
      <c r="IR22" s="263"/>
      <c r="IS22" s="263"/>
      <c r="IT22" s="263"/>
      <c r="IU22" s="263"/>
      <c r="IV22" s="263"/>
    </row>
    <row r="23" spans="1:256" ht="15" hidden="1" customHeight="1" x14ac:dyDescent="0.3">
      <c r="A23" s="638">
        <v>17360199</v>
      </c>
      <c r="B23" s="638" t="s">
        <v>386</v>
      </c>
      <c r="C23" s="638">
        <v>61.28</v>
      </c>
      <c r="D23" s="311"/>
      <c r="E23" s="305">
        <f>SUMIF(Adjustments!A:A,A23,Adjustments!C:C)</f>
        <v>0</v>
      </c>
      <c r="F23" s="278">
        <f t="shared" si="0"/>
        <v>61.28</v>
      </c>
      <c r="G23" s="263" t="str">
        <f>VLOOKUP('Trial Balance'!$A23,'Code Allocation'!$A:$D,3,0)</f>
        <v>CRA</v>
      </c>
      <c r="H23" s="266" t="str">
        <f>VLOOKUP('Trial Balance'!$A23,'Code Allocation'!$A:$D,4,0)</f>
        <v>Allotments</v>
      </c>
      <c r="I23" s="267" t="str">
        <f>VLOOKUP('Trial Balance'!$A23,'Code Allocation'!$A:$E,5,0)</f>
        <v>Transport related expenses</v>
      </c>
      <c r="J23" s="268" t="str">
        <f>VLOOKUP('Trial Balance'!$A23,'Code Allocation'!$A:$F,6,0)</f>
        <v>Pick-up</v>
      </c>
    </row>
    <row r="24" spans="1:256" ht="15" hidden="1" customHeight="1" x14ac:dyDescent="0.3">
      <c r="A24" s="638">
        <v>17360399</v>
      </c>
      <c r="B24" s="638" t="s">
        <v>387</v>
      </c>
      <c r="C24" s="638">
        <v>40</v>
      </c>
      <c r="D24" s="311"/>
      <c r="E24" s="305">
        <f>SUMIF(Adjustments!A:A,A24,Adjustments!C:C)</f>
        <v>0</v>
      </c>
      <c r="F24" s="278">
        <f t="shared" si="0"/>
        <v>40</v>
      </c>
      <c r="G24" s="263" t="str">
        <f>VLOOKUP('Trial Balance'!$A24,'Code Allocation'!$A:$D,3,0)</f>
        <v>CRA</v>
      </c>
      <c r="H24" s="266" t="str">
        <f>VLOOKUP('Trial Balance'!$A24,'Code Allocation'!$A:$D,4,0)</f>
        <v>Allotments</v>
      </c>
      <c r="I24" s="267" t="str">
        <f>VLOOKUP('Trial Balance'!$A24,'Code Allocation'!$A:$E,5,0)</f>
        <v>Transport related expenses</v>
      </c>
      <c r="J24" s="268" t="str">
        <f>VLOOKUP('Trial Balance'!$A24,'Code Allocation'!$A:$F,6,0)</f>
        <v>Pick-up</v>
      </c>
    </row>
    <row r="25" spans="1:256" ht="15" hidden="1" customHeight="1" x14ac:dyDescent="0.3">
      <c r="A25" s="638">
        <v>17370199</v>
      </c>
      <c r="B25" s="638" t="s">
        <v>388</v>
      </c>
      <c r="C25" s="638">
        <v>83.63</v>
      </c>
      <c r="D25" s="311"/>
      <c r="E25" s="305">
        <f>SUMIF(Adjustments!A:A,A25,Adjustments!C:C)</f>
        <v>0</v>
      </c>
      <c r="F25" s="278">
        <f t="shared" si="0"/>
        <v>83.63</v>
      </c>
      <c r="G25" s="263" t="str">
        <f>VLOOKUP('Trial Balance'!$A25,'Code Allocation'!$A:$D,3,0)</f>
        <v>CRA</v>
      </c>
      <c r="H25" s="266" t="str">
        <f>VLOOKUP('Trial Balance'!$A25,'Code Allocation'!$A:$D,4,0)</f>
        <v>Allotments</v>
      </c>
      <c r="I25" s="267" t="str">
        <f>VLOOKUP('Trial Balance'!$A25,'Code Allocation'!$A:$E,5,0)</f>
        <v>Transport related expenses</v>
      </c>
      <c r="J25" s="268" t="str">
        <f>VLOOKUP('Trial Balance'!$A25,'Code Allocation'!$A:$F,6,0)</f>
        <v>Pick-up</v>
      </c>
    </row>
    <row r="26" spans="1:256" ht="15" hidden="1" customHeight="1" x14ac:dyDescent="0.3">
      <c r="A26" s="638">
        <v>17370299</v>
      </c>
      <c r="B26" s="638" t="s">
        <v>389</v>
      </c>
      <c r="C26" s="638">
        <v>37.64</v>
      </c>
      <c r="D26" s="311"/>
      <c r="E26" s="305">
        <f>SUMIF(Adjustments!A:A,A26,Adjustments!C:C)</f>
        <v>0</v>
      </c>
      <c r="F26" s="278">
        <f t="shared" si="0"/>
        <v>37.64</v>
      </c>
      <c r="G26" s="263" t="str">
        <f>VLOOKUP('Trial Balance'!$A26,'Code Allocation'!$A:$D,3,0)</f>
        <v>CRA</v>
      </c>
      <c r="H26" s="266" t="str">
        <f>VLOOKUP('Trial Balance'!$A26,'Code Allocation'!$A:$D,4,0)</f>
        <v>Allotments</v>
      </c>
      <c r="I26" s="267" t="str">
        <f>VLOOKUP('Trial Balance'!$A26,'Code Allocation'!$A:$E,5,0)</f>
        <v>Transport related expenses</v>
      </c>
      <c r="J26" s="268" t="str">
        <f>VLOOKUP('Trial Balance'!$A26,'Code Allocation'!$A:$F,6,0)</f>
        <v>Pick-up</v>
      </c>
    </row>
    <row r="27" spans="1:256" s="279" customFormat="1" ht="15" hidden="1" customHeight="1" x14ac:dyDescent="0.3">
      <c r="A27" s="638">
        <v>17370399</v>
      </c>
      <c r="B27" s="638" t="s">
        <v>390</v>
      </c>
      <c r="C27" s="638">
        <v>43</v>
      </c>
      <c r="D27" s="311"/>
      <c r="E27" s="305">
        <f>SUMIF(Adjustments!A:A,A27,Adjustments!C:C)</f>
        <v>0</v>
      </c>
      <c r="F27" s="278">
        <f t="shared" si="0"/>
        <v>43</v>
      </c>
      <c r="G27" s="263" t="str">
        <f>VLOOKUP('Trial Balance'!$A27,'Code Allocation'!$A:$D,3,0)</f>
        <v>CRA</v>
      </c>
      <c r="H27" s="266" t="str">
        <f>VLOOKUP('Trial Balance'!$A27,'Code Allocation'!$A:$D,4,0)</f>
        <v>Allotments</v>
      </c>
      <c r="I27" s="267" t="str">
        <f>VLOOKUP('Trial Balance'!$A27,'Code Allocation'!$A:$E,5,0)</f>
        <v>Transport related expenses</v>
      </c>
      <c r="J27" s="268" t="str">
        <f>VLOOKUP('Trial Balance'!$A27,'Code Allocation'!$A:$F,6,0)</f>
        <v>Pick-up</v>
      </c>
      <c r="K27" s="263"/>
      <c r="L27" s="263"/>
      <c r="M27" s="263"/>
      <c r="N27" s="263"/>
      <c r="O27" s="263"/>
      <c r="P27" s="263"/>
      <c r="Q27" s="263"/>
      <c r="R27" s="263"/>
      <c r="S27" s="263"/>
      <c r="T27" s="263"/>
      <c r="U27" s="263"/>
      <c r="V27" s="263"/>
      <c r="W27" s="263"/>
      <c r="X27" s="263"/>
      <c r="Y27" s="263"/>
      <c r="Z27" s="263"/>
      <c r="AA27" s="263"/>
      <c r="AB27" s="263"/>
      <c r="AC27" s="263"/>
      <c r="AD27" s="263"/>
      <c r="AE27" s="263"/>
      <c r="AF27" s="263"/>
      <c r="AG27" s="263"/>
      <c r="AH27" s="263"/>
      <c r="AI27" s="263"/>
      <c r="AJ27" s="263"/>
      <c r="AK27" s="263"/>
      <c r="AL27" s="263"/>
      <c r="AM27" s="263"/>
      <c r="AN27" s="263"/>
      <c r="AO27" s="263"/>
      <c r="AP27" s="263"/>
      <c r="AQ27" s="263"/>
      <c r="AR27" s="263"/>
      <c r="AS27" s="263"/>
      <c r="AT27" s="263"/>
      <c r="AU27" s="263"/>
      <c r="AV27" s="263"/>
      <c r="AW27" s="263"/>
      <c r="AX27" s="263"/>
      <c r="AY27" s="263"/>
      <c r="AZ27" s="263"/>
      <c r="BA27" s="263"/>
      <c r="BB27" s="263"/>
      <c r="BC27" s="263"/>
      <c r="BD27" s="263"/>
      <c r="BE27" s="263"/>
      <c r="BF27" s="263"/>
      <c r="BG27" s="263"/>
      <c r="BH27" s="263"/>
      <c r="BI27" s="263"/>
      <c r="BJ27" s="263"/>
      <c r="BK27" s="263"/>
      <c r="BL27" s="263"/>
      <c r="BM27" s="263"/>
      <c r="BN27" s="263"/>
      <c r="BO27" s="263"/>
      <c r="BP27" s="263"/>
      <c r="BQ27" s="263"/>
      <c r="BR27" s="263"/>
      <c r="BS27" s="263"/>
      <c r="BT27" s="263"/>
      <c r="BU27" s="263"/>
      <c r="BV27" s="263"/>
      <c r="BW27" s="263"/>
      <c r="BX27" s="263"/>
      <c r="BY27" s="263"/>
      <c r="BZ27" s="263"/>
      <c r="CA27" s="263"/>
      <c r="CB27" s="263"/>
      <c r="CC27" s="263"/>
      <c r="CD27" s="263"/>
      <c r="CE27" s="263"/>
      <c r="CF27" s="263"/>
      <c r="CG27" s="263"/>
      <c r="CH27" s="263"/>
      <c r="CI27" s="263"/>
      <c r="CJ27" s="263"/>
      <c r="CK27" s="263"/>
      <c r="CL27" s="263"/>
      <c r="CM27" s="263"/>
      <c r="CN27" s="263"/>
      <c r="CO27" s="263"/>
      <c r="CP27" s="263"/>
      <c r="CQ27" s="263"/>
      <c r="CR27" s="263"/>
      <c r="CS27" s="263"/>
      <c r="CT27" s="263"/>
      <c r="CU27" s="263"/>
      <c r="CV27" s="263"/>
      <c r="CW27" s="263"/>
      <c r="CX27" s="263"/>
      <c r="CY27" s="263"/>
      <c r="CZ27" s="263"/>
      <c r="DA27" s="263"/>
      <c r="DB27" s="263"/>
      <c r="DC27" s="263"/>
      <c r="DD27" s="263"/>
      <c r="DE27" s="263"/>
      <c r="DF27" s="263"/>
      <c r="DG27" s="263"/>
      <c r="DH27" s="263"/>
      <c r="DI27" s="263"/>
      <c r="DJ27" s="263"/>
      <c r="DK27" s="263"/>
      <c r="DL27" s="263"/>
      <c r="DM27" s="263"/>
      <c r="DN27" s="263"/>
      <c r="DO27" s="263"/>
      <c r="DP27" s="263"/>
      <c r="DQ27" s="263"/>
      <c r="DR27" s="263"/>
      <c r="DS27" s="263"/>
      <c r="DT27" s="263"/>
      <c r="DU27" s="263"/>
      <c r="DV27" s="263"/>
      <c r="DW27" s="263"/>
      <c r="DX27" s="263"/>
      <c r="DY27" s="263"/>
      <c r="DZ27" s="263"/>
      <c r="EA27" s="263"/>
      <c r="EB27" s="263"/>
      <c r="EC27" s="263"/>
      <c r="ED27" s="263"/>
      <c r="EE27" s="263"/>
      <c r="EF27" s="263"/>
      <c r="EG27" s="263"/>
      <c r="EH27" s="263"/>
      <c r="EI27" s="263"/>
      <c r="EJ27" s="263"/>
      <c r="EK27" s="263"/>
      <c r="EL27" s="263"/>
      <c r="EM27" s="263"/>
      <c r="EN27" s="263"/>
      <c r="EO27" s="263"/>
      <c r="EP27" s="263"/>
      <c r="EQ27" s="263"/>
      <c r="ER27" s="263"/>
      <c r="ES27" s="263"/>
      <c r="ET27" s="263"/>
      <c r="EU27" s="263"/>
      <c r="EV27" s="263"/>
      <c r="EW27" s="263"/>
      <c r="EX27" s="263"/>
      <c r="EY27" s="263"/>
      <c r="EZ27" s="263"/>
      <c r="FA27" s="263"/>
      <c r="FB27" s="263"/>
      <c r="FC27" s="263"/>
      <c r="FD27" s="263"/>
      <c r="FE27" s="263"/>
      <c r="FF27" s="263"/>
      <c r="FG27" s="263"/>
      <c r="FH27" s="263"/>
      <c r="FI27" s="263"/>
      <c r="FJ27" s="263"/>
      <c r="FK27" s="263"/>
      <c r="FL27" s="263"/>
      <c r="FM27" s="263"/>
      <c r="FN27" s="263"/>
      <c r="FO27" s="263"/>
      <c r="FP27" s="263"/>
      <c r="FQ27" s="263"/>
      <c r="FR27" s="263"/>
      <c r="FS27" s="263"/>
      <c r="FT27" s="263"/>
      <c r="FU27" s="263"/>
      <c r="FV27" s="263"/>
      <c r="FW27" s="263"/>
      <c r="FX27" s="263"/>
      <c r="FY27" s="263"/>
      <c r="FZ27" s="263"/>
      <c r="GA27" s="263"/>
      <c r="GB27" s="263"/>
      <c r="GC27" s="263"/>
      <c r="GD27" s="263"/>
      <c r="GE27" s="263"/>
      <c r="GF27" s="263"/>
      <c r="GG27" s="263"/>
      <c r="GH27" s="263"/>
      <c r="GI27" s="263"/>
      <c r="GJ27" s="263"/>
      <c r="GK27" s="263"/>
      <c r="GL27" s="263"/>
      <c r="GM27" s="263"/>
      <c r="GN27" s="263"/>
      <c r="GO27" s="263"/>
      <c r="GP27" s="263"/>
      <c r="GQ27" s="263"/>
      <c r="GR27" s="263"/>
      <c r="GS27" s="263"/>
      <c r="GT27" s="263"/>
      <c r="GU27" s="263"/>
      <c r="GV27" s="263"/>
      <c r="GW27" s="263"/>
      <c r="GX27" s="263"/>
      <c r="GY27" s="263"/>
      <c r="GZ27" s="263"/>
      <c r="HA27" s="263"/>
      <c r="HB27" s="263"/>
      <c r="HC27" s="263"/>
      <c r="HD27" s="263"/>
      <c r="HE27" s="263"/>
      <c r="HF27" s="263"/>
      <c r="HG27" s="263"/>
      <c r="HH27" s="263"/>
      <c r="HI27" s="263"/>
      <c r="HJ27" s="263"/>
      <c r="HK27" s="263"/>
      <c r="HL27" s="263"/>
      <c r="HM27" s="263"/>
      <c r="HN27" s="263"/>
      <c r="HO27" s="263"/>
      <c r="HP27" s="263"/>
      <c r="HQ27" s="263"/>
      <c r="HR27" s="263"/>
      <c r="HS27" s="263"/>
      <c r="HT27" s="263"/>
      <c r="HU27" s="263"/>
      <c r="HV27" s="263"/>
      <c r="HW27" s="263"/>
      <c r="HX27" s="263"/>
      <c r="HY27" s="263"/>
      <c r="HZ27" s="263"/>
      <c r="IA27" s="263"/>
      <c r="IB27" s="263"/>
      <c r="IC27" s="263"/>
      <c r="ID27" s="263"/>
      <c r="IE27" s="263"/>
      <c r="IF27" s="263"/>
      <c r="IG27" s="263"/>
      <c r="IH27" s="263"/>
      <c r="II27" s="263"/>
      <c r="IJ27" s="263"/>
      <c r="IK27" s="263"/>
      <c r="IL27" s="263"/>
      <c r="IM27" s="263"/>
      <c r="IN27" s="263"/>
      <c r="IO27" s="263"/>
      <c r="IP27" s="263"/>
      <c r="IQ27" s="263"/>
      <c r="IR27" s="263"/>
      <c r="IS27" s="263"/>
      <c r="IT27" s="263"/>
      <c r="IU27" s="263"/>
      <c r="IV27" s="263"/>
    </row>
    <row r="28" spans="1:256" ht="15" hidden="1" customHeight="1" x14ac:dyDescent="0.3">
      <c r="A28" s="638">
        <v>17421460</v>
      </c>
      <c r="B28" s="638" t="s">
        <v>391</v>
      </c>
      <c r="C28" s="638">
        <v>4.41</v>
      </c>
      <c r="D28" s="311"/>
      <c r="E28" s="305">
        <f>SUMIF(Adjustments!A:A,A28,Adjustments!C:C)</f>
        <v>0</v>
      </c>
      <c r="F28" s="278">
        <f t="shared" si="0"/>
        <v>4.41</v>
      </c>
      <c r="G28" s="263" t="str">
        <f>VLOOKUP('Trial Balance'!$A28,'Code Allocation'!$A:$D,3,0)</f>
        <v>CRA</v>
      </c>
      <c r="H28" s="266" t="str">
        <f>VLOOKUP('Trial Balance'!$A28,'Code Allocation'!$A:$D,4,0)</f>
        <v>Allotments</v>
      </c>
      <c r="I28" s="267" t="str">
        <f>VLOOKUP('Trial Balance'!$A28,'Code Allocation'!$A:$E,5,0)</f>
        <v>Supplies and Services</v>
      </c>
      <c r="J28" s="268" t="str">
        <f>VLOOKUP('Trial Balance'!$A28,'Code Allocation'!$A:$F,6,0)</f>
        <v>Repairs &amp; Maintenance</v>
      </c>
    </row>
    <row r="29" spans="1:256" ht="15" hidden="1" customHeight="1" x14ac:dyDescent="0.3">
      <c r="A29" s="638">
        <v>17421465</v>
      </c>
      <c r="B29" s="638" t="s">
        <v>392</v>
      </c>
      <c r="C29" s="638">
        <v>117.53</v>
      </c>
      <c r="D29" s="311"/>
      <c r="E29" s="305">
        <f>SUMIF(Adjustments!A:A,A29,Adjustments!C:C)</f>
        <v>0</v>
      </c>
      <c r="F29" s="278">
        <f t="shared" si="0"/>
        <v>117.53</v>
      </c>
      <c r="G29" s="263" t="str">
        <f>VLOOKUP('Trial Balance'!$A29,'Code Allocation'!$A:$D,3,0)</f>
        <v>CRA</v>
      </c>
      <c r="H29" s="266" t="str">
        <f>VLOOKUP('Trial Balance'!$A29,'Code Allocation'!$A:$D,4,0)</f>
        <v>Allotments</v>
      </c>
      <c r="I29" s="267" t="str">
        <f>VLOOKUP('Trial Balance'!$A29,'Code Allocation'!$A:$E,5,0)</f>
        <v>Supplies and Services</v>
      </c>
      <c r="J29" s="268" t="str">
        <f>VLOOKUP('Trial Balance'!$A29,'Code Allocation'!$A:$F,6,0)</f>
        <v>Repairs &amp; Maintenance</v>
      </c>
    </row>
    <row r="30" spans="1:256" ht="15" hidden="1" customHeight="1" x14ac:dyDescent="0.3">
      <c r="A30" s="638">
        <v>17440399</v>
      </c>
      <c r="B30" s="638" t="s">
        <v>393</v>
      </c>
      <c r="C30" s="638">
        <v>51.87</v>
      </c>
      <c r="D30" s="311"/>
      <c r="E30" s="305">
        <f>SUMIF(Adjustments!A:A,A30,Adjustments!C:C)</f>
        <v>0</v>
      </c>
      <c r="F30" s="280">
        <f t="shared" si="0"/>
        <v>51.87</v>
      </c>
      <c r="G30" s="263" t="str">
        <f>VLOOKUP('Trial Balance'!$A30,'Code Allocation'!$A:$D,3,0)</f>
        <v>CRA</v>
      </c>
      <c r="H30" s="266" t="str">
        <f>VLOOKUP('Trial Balance'!$A30,'Code Allocation'!$A:$D,4,0)</f>
        <v>Allotments</v>
      </c>
      <c r="I30" s="267" t="str">
        <f>VLOOKUP('Trial Balance'!$A30,'Code Allocation'!$A:$E,5,0)</f>
        <v>Supplies and Services</v>
      </c>
      <c r="J30" s="268" t="str">
        <f>VLOOKUP('Trial Balance'!$A30,'Code Allocation'!$A:$F,6,0)</f>
        <v>Pest Control</v>
      </c>
    </row>
    <row r="31" spans="1:256" ht="15" hidden="1" customHeight="1" x14ac:dyDescent="0.3">
      <c r="A31" s="638">
        <v>24200102</v>
      </c>
      <c r="B31" s="638" t="s">
        <v>394</v>
      </c>
      <c r="C31" s="311"/>
      <c r="D31" s="640">
        <v>29146.31</v>
      </c>
      <c r="E31" s="305">
        <f>SUMIF(Adjustments!A:A,A31,Adjustments!C:C)</f>
        <v>0</v>
      </c>
      <c r="F31" s="278">
        <f t="shared" si="0"/>
        <v>-29146.31</v>
      </c>
      <c r="G31" s="263" t="str">
        <f>VLOOKUP('Trial Balance'!$A31,'Code Allocation'!$A:$D,3,0)</f>
        <v>CRA</v>
      </c>
      <c r="H31" s="266" t="str">
        <f>VLOOKUP('Trial Balance'!$A31,'Code Allocation'!$A:$D,4,0)</f>
        <v>Buildings &amp; Cultural Activities</v>
      </c>
      <c r="I31" s="267" t="str">
        <f>VLOOKUP('Trial Balance'!$A31,'Code Allocation'!$A:$E,5,0)</f>
        <v>Customer &amp; Client Receipts</v>
      </c>
      <c r="J31" s="268" t="str">
        <f>VLOOKUP('Trial Balance'!$A31,'Code Allocation'!$A:$F,6,0)</f>
        <v>Room Hire</v>
      </c>
    </row>
    <row r="32" spans="1:256" ht="15" hidden="1" customHeight="1" x14ac:dyDescent="0.3">
      <c r="A32" s="638">
        <v>24200104</v>
      </c>
      <c r="B32" s="638" t="s">
        <v>395</v>
      </c>
      <c r="C32" s="311"/>
      <c r="D32" s="640">
        <v>10239.469999999999</v>
      </c>
      <c r="E32" s="305">
        <f>SUMIF(Adjustments!A:A,A32,Adjustments!C:C)</f>
        <v>0</v>
      </c>
      <c r="F32" s="278">
        <f t="shared" si="0"/>
        <v>-10239.469999999999</v>
      </c>
      <c r="G32" s="263" t="str">
        <f>VLOOKUP('Trial Balance'!$A32,'Code Allocation'!$A:$D,3,0)</f>
        <v>CRA</v>
      </c>
      <c r="H32" s="266" t="str">
        <f>VLOOKUP('Trial Balance'!$A32,'Code Allocation'!$A:$D,4,0)</f>
        <v>Buildings &amp; Cultural Activities</v>
      </c>
      <c r="I32" s="267" t="str">
        <f>VLOOKUP('Trial Balance'!$A32,'Code Allocation'!$A:$E,5,0)</f>
        <v>Customer &amp; Client Receipts</v>
      </c>
      <c r="J32" s="268" t="str">
        <f>VLOOKUP('Trial Balance'!$A32,'Code Allocation'!$A:$F,6,0)</f>
        <v>Room Hire</v>
      </c>
    </row>
    <row r="33" spans="1:10" ht="15" hidden="1" customHeight="1" x14ac:dyDescent="0.3">
      <c r="A33" s="638">
        <v>24200105</v>
      </c>
      <c r="B33" s="638" t="s">
        <v>396</v>
      </c>
      <c r="C33" s="311"/>
      <c r="D33" s="640">
        <v>4835.99</v>
      </c>
      <c r="E33" s="305">
        <f>SUMIF(Adjustments!A:A,A33,Adjustments!C:C)</f>
        <v>0</v>
      </c>
      <c r="F33" s="278">
        <f t="shared" si="0"/>
        <v>-4835.99</v>
      </c>
      <c r="G33" s="263" t="str">
        <f>VLOOKUP('Trial Balance'!$A33,'Code Allocation'!$A:$D,3,0)</f>
        <v>CRA</v>
      </c>
      <c r="H33" s="266" t="str">
        <f>VLOOKUP('Trial Balance'!$A33,'Code Allocation'!$A:$D,4,0)</f>
        <v>Buildings &amp; Cultural Activities</v>
      </c>
      <c r="I33" s="267" t="str">
        <f>VLOOKUP('Trial Balance'!$A33,'Code Allocation'!$A:$E,5,0)</f>
        <v>Customer &amp; Client Receipts</v>
      </c>
      <c r="J33" s="268" t="str">
        <f>VLOOKUP('Trial Balance'!$A33,'Code Allocation'!$A:$F,6,0)</f>
        <v>Room Hire</v>
      </c>
    </row>
    <row r="34" spans="1:10" ht="15" hidden="1" customHeight="1" x14ac:dyDescent="0.3">
      <c r="A34" s="638">
        <v>24200106</v>
      </c>
      <c r="B34" s="638" t="s">
        <v>397</v>
      </c>
      <c r="C34" s="311"/>
      <c r="D34" s="638">
        <v>123.6</v>
      </c>
      <c r="E34" s="305">
        <f>SUMIF(Adjustments!A:A,A34,Adjustments!C:C)</f>
        <v>0</v>
      </c>
      <c r="F34" s="278">
        <f t="shared" si="0"/>
        <v>-123.6</v>
      </c>
      <c r="G34" s="263" t="str">
        <f>VLOOKUP('Trial Balance'!$A34,'Code Allocation'!$A:$D,3,0)</f>
        <v>CRA</v>
      </c>
      <c r="H34" s="266" t="str">
        <f>VLOOKUP('Trial Balance'!$A34,'Code Allocation'!$A:$D,4,0)</f>
        <v>Buildings &amp; Cultural Activities</v>
      </c>
      <c r="I34" s="267" t="str">
        <f>VLOOKUP('Trial Balance'!$A34,'Code Allocation'!$A:$E,5,0)</f>
        <v>Customer &amp; Client Receipts</v>
      </c>
      <c r="J34" s="268" t="str">
        <f>VLOOKUP('Trial Balance'!$A34,'Code Allocation'!$A:$F,6,0)</f>
        <v>Room Hire</v>
      </c>
    </row>
    <row r="35" spans="1:10" ht="15" hidden="1" customHeight="1" x14ac:dyDescent="0.3">
      <c r="A35" s="638">
        <v>24200107</v>
      </c>
      <c r="B35" s="638" t="s">
        <v>398</v>
      </c>
      <c r="C35" s="311"/>
      <c r="D35" s="638">
        <v>994.5</v>
      </c>
      <c r="E35" s="305">
        <f>SUMIF(Adjustments!A:A,A35,Adjustments!C:C)</f>
        <v>0</v>
      </c>
      <c r="F35" s="278">
        <f t="shared" si="0"/>
        <v>-994.5</v>
      </c>
      <c r="G35" s="263" t="str">
        <f>VLOOKUP('Trial Balance'!$A35,'Code Allocation'!$A:$D,3,0)</f>
        <v>CRA</v>
      </c>
      <c r="H35" s="266" t="str">
        <f>VLOOKUP('Trial Balance'!$A35,'Code Allocation'!$A:$D,4,0)</f>
        <v>Buildings &amp; Cultural Activities</v>
      </c>
      <c r="I35" s="267" t="str">
        <f>VLOOKUP('Trial Balance'!$A35,'Code Allocation'!$A:$E,5,0)</f>
        <v>Customer &amp; Client Receipts</v>
      </c>
      <c r="J35" s="268" t="str">
        <f>VLOOKUP('Trial Balance'!$A35,'Code Allocation'!$A:$F,6,0)</f>
        <v>Room Hire</v>
      </c>
    </row>
    <row r="36" spans="1:10" ht="15" hidden="1" customHeight="1" x14ac:dyDescent="0.3">
      <c r="A36" s="638">
        <v>24200304</v>
      </c>
      <c r="B36" s="638" t="s">
        <v>399</v>
      </c>
      <c r="C36" s="311"/>
      <c r="D36" s="640">
        <v>2410</v>
      </c>
      <c r="E36" s="305">
        <f>SUMIF(Adjustments!A:A,A36,Adjustments!C:C)</f>
        <v>0</v>
      </c>
      <c r="F36" s="278">
        <f t="shared" si="0"/>
        <v>-2410</v>
      </c>
      <c r="G36" s="263" t="str">
        <f>VLOOKUP('Trial Balance'!$A36,'Code Allocation'!$A:$D,3,0)</f>
        <v>CRA</v>
      </c>
      <c r="H36" s="266" t="str">
        <f>VLOOKUP('Trial Balance'!$A36,'Code Allocation'!$A:$D,4,0)</f>
        <v>Buildings &amp; Cultural Activities</v>
      </c>
      <c r="I36" s="267" t="str">
        <f>VLOOKUP('Trial Balance'!$A36,'Code Allocation'!$A:$E,5,0)</f>
        <v>Customer &amp; Client Receipts</v>
      </c>
      <c r="J36" s="268" t="str">
        <f>VLOOKUP('Trial Balance'!$A36,'Code Allocation'!$A:$F,6,0)</f>
        <v>Room Hire</v>
      </c>
    </row>
    <row r="37" spans="1:10" ht="15" hidden="1" customHeight="1" x14ac:dyDescent="0.3">
      <c r="A37" s="638">
        <v>24200306</v>
      </c>
      <c r="B37" s="638" t="s">
        <v>400</v>
      </c>
      <c r="C37" s="311"/>
      <c r="D37" s="638">
        <v>185</v>
      </c>
      <c r="E37" s="305">
        <f>SUMIF(Adjustments!A:A,A37,Adjustments!C:C)</f>
        <v>0</v>
      </c>
      <c r="F37" s="639">
        <f t="shared" si="0"/>
        <v>-185</v>
      </c>
      <c r="G37" s="263" t="str">
        <f>VLOOKUP('Trial Balance'!$A37,'Code Allocation'!$A:$D,3,0)</f>
        <v>CRA</v>
      </c>
      <c r="H37" s="266" t="str">
        <f>VLOOKUP('Trial Balance'!$A37,'Code Allocation'!$A:$D,4,0)</f>
        <v>Buildings &amp; Cultural Activities</v>
      </c>
      <c r="I37" s="267" t="str">
        <f>VLOOKUP('Trial Balance'!$A37,'Code Allocation'!$A:$E,5,0)</f>
        <v>Customer &amp; Client Receipts</v>
      </c>
      <c r="J37" s="268" t="str">
        <f>VLOOKUP('Trial Balance'!$A37,'Code Allocation'!$A:$F,6,0)</f>
        <v>Room Hire</v>
      </c>
    </row>
    <row r="38" spans="1:10" ht="15" hidden="1" customHeight="1" x14ac:dyDescent="0.3">
      <c r="A38" s="638">
        <v>24300102</v>
      </c>
      <c r="B38" s="638" t="s">
        <v>401</v>
      </c>
      <c r="C38" s="311"/>
      <c r="D38" s="640">
        <v>1596.2</v>
      </c>
      <c r="E38" s="305">
        <f>SUMIF(Adjustments!A:A,A38,Adjustments!C:C)</f>
        <v>0</v>
      </c>
      <c r="F38" s="639">
        <f t="shared" si="0"/>
        <v>-1596.2</v>
      </c>
      <c r="G38" s="263" t="str">
        <f>VLOOKUP('Trial Balance'!$A38,'Code Allocation'!$A:$D,3,0)</f>
        <v>CRA</v>
      </c>
      <c r="H38" s="266" t="str">
        <f>VLOOKUP('Trial Balance'!$A38,'Code Allocation'!$A:$D,4,0)</f>
        <v>Buildings &amp; Cultural Activities</v>
      </c>
      <c r="I38" s="267" t="str">
        <f>VLOOKUP('Trial Balance'!$A38,'Code Allocation'!$A:$E,5,0)</f>
        <v>Customer &amp; Client Receipts</v>
      </c>
      <c r="J38" s="268" t="str">
        <f>VLOOKUP('Trial Balance'!$A38,'Code Allocation'!$A:$F,6,0)</f>
        <v>Bar Franchise</v>
      </c>
    </row>
    <row r="39" spans="1:10" s="279" customFormat="1" ht="15" hidden="1" customHeight="1" x14ac:dyDescent="0.3">
      <c r="A39" s="638">
        <v>24420299</v>
      </c>
      <c r="B39" s="638" t="s">
        <v>402</v>
      </c>
      <c r="C39" s="638">
        <v>648.03</v>
      </c>
      <c r="D39" s="311"/>
      <c r="E39" s="305">
        <f>SUMIF(Adjustments!A:A,A39,Adjustments!C:C)</f>
        <v>0</v>
      </c>
      <c r="F39" s="641">
        <f t="shared" si="0"/>
        <v>648.03</v>
      </c>
      <c r="G39" s="263" t="str">
        <f>VLOOKUP('Trial Balance'!$A39,'Code Allocation'!$A:$D,3,0)</f>
        <v>CRA</v>
      </c>
      <c r="H39" s="266" t="str">
        <f>VLOOKUP('Trial Balance'!$A39,'Code Allocation'!$A:$D,4,0)</f>
        <v>Buildings &amp; Cultural Activities</v>
      </c>
      <c r="I39" s="267" t="str">
        <f>VLOOKUP('Trial Balance'!$A39,'Code Allocation'!$A:$E,5,0)</f>
        <v>Customer &amp; Client Receipts</v>
      </c>
      <c r="J39" s="268" t="str">
        <f>VLOOKUP('Trial Balance'!$A39,'Code Allocation'!$A:$F,6,0)</f>
        <v>Sundry</v>
      </c>
    </row>
    <row r="40" spans="1:10" ht="15" hidden="1" customHeight="1" x14ac:dyDescent="0.3">
      <c r="A40" s="638">
        <v>27000199</v>
      </c>
      <c r="B40" s="638" t="s">
        <v>403</v>
      </c>
      <c r="C40" s="640">
        <v>23597.42</v>
      </c>
      <c r="D40" s="311"/>
      <c r="E40" s="305">
        <f>SUMIF(Adjustments!A:A,A40,Adjustments!C:C)</f>
        <v>0</v>
      </c>
      <c r="F40" s="639">
        <f t="shared" si="0"/>
        <v>23597.42</v>
      </c>
      <c r="G40" s="263" t="str">
        <f>VLOOKUP('Trial Balance'!$A40,'Code Allocation'!$A:$D,3,0)</f>
        <v>CRA</v>
      </c>
      <c r="H40" s="266" t="str">
        <f>VLOOKUP('Trial Balance'!$A40,'Code Allocation'!$A:$D,4,0)</f>
        <v>Buildings &amp; Cultural Activities</v>
      </c>
      <c r="I40" s="267" t="str">
        <f>VLOOKUP('Trial Balance'!$A40,'Code Allocation'!$A:$E,5,0)</f>
        <v>Employees</v>
      </c>
      <c r="J40" s="268" t="str">
        <f>VLOOKUP('Trial Balance'!$A40,'Code Allocation'!$A:$F,6,0)</f>
        <v>Wages</v>
      </c>
    </row>
    <row r="41" spans="1:10" ht="15" hidden="1" customHeight="1" x14ac:dyDescent="0.3">
      <c r="A41" s="638">
        <v>27020199</v>
      </c>
      <c r="B41" s="638" t="s">
        <v>404</v>
      </c>
      <c r="C41" s="638">
        <v>914.98</v>
      </c>
      <c r="D41" s="311"/>
      <c r="E41" s="305">
        <f>SUMIF(Adjustments!A:A,A41,Adjustments!C:C)</f>
        <v>0</v>
      </c>
      <c r="F41" s="278">
        <f t="shared" si="0"/>
        <v>914.98</v>
      </c>
      <c r="G41" s="263" t="str">
        <f>VLOOKUP('Trial Balance'!$A41,'Code Allocation'!$A:$D,3,0)</f>
        <v>CRA</v>
      </c>
      <c r="H41" s="266" t="str">
        <f>VLOOKUP('Trial Balance'!$A41,'Code Allocation'!$A:$D,4,0)</f>
        <v>Buildings &amp; Cultural Activities</v>
      </c>
      <c r="I41" s="267" t="str">
        <f>VLOOKUP('Trial Balance'!$A41,'Code Allocation'!$A:$E,5,0)</f>
        <v>Employees</v>
      </c>
      <c r="J41" s="268" t="str">
        <f>VLOOKUP('Trial Balance'!$A41,'Code Allocation'!$A:$F,6,0)</f>
        <v>Employers National Insurance</v>
      </c>
    </row>
    <row r="42" spans="1:10" ht="15" hidden="1" customHeight="1" x14ac:dyDescent="0.3">
      <c r="A42" s="638">
        <v>27030199</v>
      </c>
      <c r="B42" s="638" t="s">
        <v>405</v>
      </c>
      <c r="C42" s="640">
        <v>2828.2</v>
      </c>
      <c r="D42" s="311"/>
      <c r="E42" s="305">
        <f>SUMIF(Adjustments!A:A,A42,Adjustments!C:C)</f>
        <v>0</v>
      </c>
      <c r="F42" s="278">
        <f t="shared" si="0"/>
        <v>2828.2</v>
      </c>
      <c r="G42" s="263" t="str">
        <f>VLOOKUP('Trial Balance'!$A42,'Code Allocation'!$A:$D,3,0)</f>
        <v>CRA</v>
      </c>
      <c r="H42" s="266" t="str">
        <f>VLOOKUP('Trial Balance'!$A42,'Code Allocation'!$A:$D,4,0)</f>
        <v>Buildings &amp; Cultural Activities</v>
      </c>
      <c r="I42" s="267" t="str">
        <f>VLOOKUP('Trial Balance'!$A42,'Code Allocation'!$A:$E,5,0)</f>
        <v>Employees</v>
      </c>
      <c r="J42" s="268" t="str">
        <f>VLOOKUP('Trial Balance'!$A42,'Code Allocation'!$A:$F,6,0)</f>
        <v>Employers Superannuation</v>
      </c>
    </row>
    <row r="43" spans="1:10" ht="15" hidden="1" customHeight="1" x14ac:dyDescent="0.3">
      <c r="A43" s="638">
        <v>27050199</v>
      </c>
      <c r="B43" s="638" t="s">
        <v>406</v>
      </c>
      <c r="C43" s="638">
        <v>438</v>
      </c>
      <c r="D43" s="311"/>
      <c r="E43" s="305">
        <f>SUMIF(Adjustments!A:A,A43,Adjustments!C:C)</f>
        <v>0</v>
      </c>
      <c r="F43" s="639">
        <f t="shared" si="0"/>
        <v>438</v>
      </c>
      <c r="G43" s="263" t="str">
        <f>VLOOKUP('Trial Balance'!$A43,'Code Allocation'!$A:$D,3,0)</f>
        <v>CRA</v>
      </c>
      <c r="H43" s="266" t="str">
        <f>VLOOKUP('Trial Balance'!$A43,'Code Allocation'!$A:$D,4,0)</f>
        <v>Buildings &amp; Cultural Activities</v>
      </c>
      <c r="I43" s="267" t="str">
        <f>VLOOKUP('Trial Balance'!$A43,'Code Allocation'!$A:$E,5,0)</f>
        <v>Employees</v>
      </c>
      <c r="J43" s="268" t="str">
        <f>VLOOKUP('Trial Balance'!$A43,'Code Allocation'!$A:$F,6,0)</f>
        <v>Training Courses</v>
      </c>
    </row>
    <row r="44" spans="1:10" ht="15" hidden="1" customHeight="1" x14ac:dyDescent="0.3">
      <c r="A44" s="638">
        <v>27060199</v>
      </c>
      <c r="B44" s="638" t="s">
        <v>407</v>
      </c>
      <c r="C44" s="638">
        <v>46.94</v>
      </c>
      <c r="D44" s="311"/>
      <c r="E44" s="305">
        <f>SUMIF(Adjustments!A:A,A44,Adjustments!C:C)</f>
        <v>0</v>
      </c>
      <c r="F44" s="639">
        <f t="shared" si="0"/>
        <v>46.94</v>
      </c>
      <c r="G44" s="263" t="str">
        <f>VLOOKUP('Trial Balance'!$A44,'Code Allocation'!$A:$D,3,0)</f>
        <v>CRA</v>
      </c>
      <c r="H44" s="266" t="str">
        <f>VLOOKUP('Trial Balance'!$A44,'Code Allocation'!$A:$D,4,0)</f>
        <v>Buildings &amp; Cultural Activities</v>
      </c>
      <c r="I44" s="267" t="str">
        <f>VLOOKUP('Trial Balance'!$A44,'Code Allocation'!$A:$E,5,0)</f>
        <v>Supplies and Services</v>
      </c>
      <c r="J44" s="268" t="str">
        <f>VLOOKUP('Trial Balance'!$A44,'Code Allocation'!$A:$F,6,0)</f>
        <v>Protective Clothing</v>
      </c>
    </row>
    <row r="45" spans="1:10" ht="15" hidden="1" customHeight="1" x14ac:dyDescent="0.3">
      <c r="A45" s="638">
        <v>27100199</v>
      </c>
      <c r="B45" s="638" t="s">
        <v>408</v>
      </c>
      <c r="C45" s="640">
        <v>2946.43</v>
      </c>
      <c r="D45" s="311"/>
      <c r="E45" s="305">
        <f>SUMIF(Adjustments!A:A,A45,Adjustments!C:C)</f>
        <v>522.23</v>
      </c>
      <c r="F45" s="639">
        <f t="shared" si="0"/>
        <v>3468.66</v>
      </c>
      <c r="G45" s="263" t="str">
        <f>VLOOKUP('Trial Balance'!$A45,'Code Allocation'!$A:$D,3,0)</f>
        <v>CRA</v>
      </c>
      <c r="H45" s="266" t="str">
        <f>VLOOKUP('Trial Balance'!$A45,'Code Allocation'!$A:$D,4,0)</f>
        <v>Buildings &amp; Cultural Activities</v>
      </c>
      <c r="I45" s="267" t="str">
        <f>VLOOKUP('Trial Balance'!$A45,'Code Allocation'!$A:$E,5,0)</f>
        <v>Premises Related Expenses</v>
      </c>
      <c r="J45" s="268" t="str">
        <f>VLOOKUP('Trial Balance'!$A45,'Code Allocation'!$A:$F,6,0)</f>
        <v>Gas</v>
      </c>
    </row>
    <row r="46" spans="1:10" ht="15" hidden="1" customHeight="1" x14ac:dyDescent="0.3">
      <c r="A46" s="638">
        <v>27110199</v>
      </c>
      <c r="B46" s="638" t="s">
        <v>409</v>
      </c>
      <c r="C46" s="640">
        <v>3629.26</v>
      </c>
      <c r="D46" s="311"/>
      <c r="E46" s="305">
        <f>SUMIF(Adjustments!A:A,A46,Adjustments!C:C)</f>
        <v>-522.23</v>
      </c>
      <c r="F46" s="639">
        <f t="shared" si="0"/>
        <v>3107.03</v>
      </c>
      <c r="G46" s="263" t="str">
        <f>VLOOKUP('Trial Balance'!$A46,'Code Allocation'!$A:$D,3,0)</f>
        <v>CRA</v>
      </c>
      <c r="H46" s="266" t="str">
        <f>VLOOKUP('Trial Balance'!$A46,'Code Allocation'!$A:$D,4,0)</f>
        <v>Buildings &amp; Cultural Activities</v>
      </c>
      <c r="I46" s="267" t="str">
        <f>VLOOKUP('Trial Balance'!$A46,'Code Allocation'!$A:$E,5,0)</f>
        <v>Premises Related Expenses</v>
      </c>
      <c r="J46" s="268" t="str">
        <f>VLOOKUP('Trial Balance'!$A46,'Code Allocation'!$A:$F,6,0)</f>
        <v>Electricity</v>
      </c>
    </row>
    <row r="47" spans="1:10" ht="15" hidden="1" customHeight="1" x14ac:dyDescent="0.3">
      <c r="A47" s="638">
        <v>27140199</v>
      </c>
      <c r="B47" s="638" t="s">
        <v>410</v>
      </c>
      <c r="C47" s="640">
        <v>11196.55</v>
      </c>
      <c r="D47" s="311"/>
      <c r="E47" s="305">
        <f>SUMIF(Adjustments!A:A,A47,Adjustments!C:C)</f>
        <v>0</v>
      </c>
      <c r="F47" s="639">
        <f t="shared" si="0"/>
        <v>11196.55</v>
      </c>
      <c r="G47" s="263" t="str">
        <f>VLOOKUP('Trial Balance'!$A47,'Code Allocation'!$A:$D,3,0)</f>
        <v>CRA</v>
      </c>
      <c r="H47" s="266" t="str">
        <f>VLOOKUP('Trial Balance'!$A47,'Code Allocation'!$A:$D,4,0)</f>
        <v>Buildings &amp; Cultural Activities</v>
      </c>
      <c r="I47" s="267" t="str">
        <f>VLOOKUP('Trial Balance'!$A47,'Code Allocation'!$A:$E,5,0)</f>
        <v>Premises Related Expenses</v>
      </c>
      <c r="J47" s="268" t="str">
        <f>VLOOKUP('Trial Balance'!$A47,'Code Allocation'!$A:$F,6,0)</f>
        <v>Rates</v>
      </c>
    </row>
    <row r="48" spans="1:10" ht="15" hidden="1" customHeight="1" x14ac:dyDescent="0.3">
      <c r="A48" s="638">
        <v>27160102</v>
      </c>
      <c r="B48" s="638" t="s">
        <v>411</v>
      </c>
      <c r="C48" s="638">
        <v>88.73</v>
      </c>
      <c r="D48" s="311"/>
      <c r="E48" s="305">
        <f>SUMIF(Adjustments!A:A,A48,Adjustments!C:C)</f>
        <v>0</v>
      </c>
      <c r="F48" s="639">
        <f t="shared" si="0"/>
        <v>88.73</v>
      </c>
      <c r="G48" s="263" t="str">
        <f>VLOOKUP('Trial Balance'!$A48,'Code Allocation'!$A:$D,3,0)</f>
        <v>CRA</v>
      </c>
      <c r="H48" s="266" t="str">
        <f>VLOOKUP('Trial Balance'!$A48,'Code Allocation'!$A:$D,4,0)</f>
        <v>Buildings &amp; Cultural Activities</v>
      </c>
      <c r="I48" s="267" t="str">
        <f>VLOOKUP('Trial Balance'!$A48,'Code Allocation'!$A:$E,5,0)</f>
        <v>Supplies and Services</v>
      </c>
      <c r="J48" s="268" t="str">
        <f>VLOOKUP('Trial Balance'!$A48,'Code Allocation'!$A:$F,6,0)</f>
        <v>Telephone</v>
      </c>
    </row>
    <row r="49" spans="1:256" s="279" customFormat="1" ht="15" hidden="1" customHeight="1" x14ac:dyDescent="0.3">
      <c r="A49" s="638">
        <v>27160199</v>
      </c>
      <c r="B49" s="638" t="s">
        <v>412</v>
      </c>
      <c r="C49" s="638">
        <v>297.11</v>
      </c>
      <c r="D49" s="311"/>
      <c r="E49" s="305">
        <f>SUMIF(Adjustments!A:A,A49,Adjustments!C:C)</f>
        <v>0</v>
      </c>
      <c r="F49" s="639">
        <f t="shared" si="0"/>
        <v>297.11</v>
      </c>
      <c r="G49" s="263" t="str">
        <f>VLOOKUP('Trial Balance'!$A49,'Code Allocation'!$A:$D,3,0)</f>
        <v>CRA</v>
      </c>
      <c r="H49" s="266" t="str">
        <f>VLOOKUP('Trial Balance'!$A49,'Code Allocation'!$A:$D,4,0)</f>
        <v>Buildings &amp; Cultural Activities</v>
      </c>
      <c r="I49" s="267" t="str">
        <f>VLOOKUP('Trial Balance'!$A49,'Code Allocation'!$A:$E,5,0)</f>
        <v>Supplies and Services</v>
      </c>
      <c r="J49" s="268" t="str">
        <f>VLOOKUP('Trial Balance'!$A49,'Code Allocation'!$A:$F,6,0)</f>
        <v>Telephone</v>
      </c>
      <c r="K49" s="263"/>
      <c r="L49" s="263"/>
      <c r="M49" s="263"/>
      <c r="N49" s="263"/>
      <c r="O49" s="263"/>
      <c r="P49" s="263"/>
      <c r="Q49" s="263"/>
      <c r="R49" s="263"/>
      <c r="S49" s="263"/>
      <c r="T49" s="263"/>
      <c r="U49" s="263"/>
      <c r="V49" s="263"/>
      <c r="W49" s="263"/>
      <c r="X49" s="263"/>
      <c r="Y49" s="263"/>
      <c r="Z49" s="263"/>
      <c r="AA49" s="263"/>
      <c r="AB49" s="263"/>
      <c r="AC49" s="263"/>
      <c r="AD49" s="263"/>
      <c r="AE49" s="263"/>
      <c r="AF49" s="263"/>
      <c r="AG49" s="263"/>
      <c r="AH49" s="263"/>
      <c r="AI49" s="263"/>
      <c r="AJ49" s="263"/>
      <c r="AK49" s="263"/>
      <c r="AL49" s="263"/>
      <c r="AM49" s="263"/>
      <c r="AN49" s="263"/>
      <c r="AO49" s="263"/>
      <c r="AP49" s="263"/>
      <c r="AQ49" s="263"/>
      <c r="AR49" s="263"/>
      <c r="AS49" s="263"/>
      <c r="AT49" s="263"/>
      <c r="AU49" s="263"/>
      <c r="AV49" s="263"/>
      <c r="AW49" s="263"/>
      <c r="AX49" s="263"/>
      <c r="AY49" s="263"/>
      <c r="AZ49" s="263"/>
      <c r="BA49" s="263"/>
      <c r="BB49" s="263"/>
      <c r="BC49" s="263"/>
      <c r="BD49" s="263"/>
      <c r="BE49" s="263"/>
      <c r="BF49" s="263"/>
      <c r="BG49" s="263"/>
      <c r="BH49" s="263"/>
      <c r="BI49" s="263"/>
      <c r="BJ49" s="263"/>
      <c r="BK49" s="263"/>
      <c r="BL49" s="263"/>
      <c r="BM49" s="263"/>
      <c r="BN49" s="263"/>
      <c r="BO49" s="263"/>
      <c r="BP49" s="263"/>
      <c r="BQ49" s="263"/>
      <c r="BR49" s="263"/>
      <c r="BS49" s="263"/>
      <c r="BT49" s="263"/>
      <c r="BU49" s="263"/>
      <c r="BV49" s="263"/>
      <c r="BW49" s="263"/>
      <c r="BX49" s="263"/>
      <c r="BY49" s="263"/>
      <c r="BZ49" s="263"/>
      <c r="CA49" s="263"/>
      <c r="CB49" s="263"/>
      <c r="CC49" s="263"/>
      <c r="CD49" s="263"/>
      <c r="CE49" s="263"/>
      <c r="CF49" s="263"/>
      <c r="CG49" s="263"/>
      <c r="CH49" s="263"/>
      <c r="CI49" s="263"/>
      <c r="CJ49" s="263"/>
      <c r="CK49" s="263"/>
      <c r="CL49" s="263"/>
      <c r="CM49" s="263"/>
      <c r="CN49" s="263"/>
      <c r="CO49" s="263"/>
      <c r="CP49" s="263"/>
      <c r="CQ49" s="263"/>
      <c r="CR49" s="263"/>
      <c r="CS49" s="263"/>
      <c r="CT49" s="263"/>
      <c r="CU49" s="263"/>
      <c r="CV49" s="263"/>
      <c r="CW49" s="263"/>
      <c r="CX49" s="263"/>
      <c r="CY49" s="263"/>
      <c r="CZ49" s="263"/>
      <c r="DA49" s="263"/>
      <c r="DB49" s="263"/>
      <c r="DC49" s="263"/>
      <c r="DD49" s="263"/>
      <c r="DE49" s="263"/>
      <c r="DF49" s="263"/>
      <c r="DG49" s="263"/>
      <c r="DH49" s="263"/>
      <c r="DI49" s="263"/>
      <c r="DJ49" s="263"/>
      <c r="DK49" s="263"/>
      <c r="DL49" s="263"/>
      <c r="DM49" s="263"/>
      <c r="DN49" s="263"/>
      <c r="DO49" s="263"/>
      <c r="DP49" s="263"/>
      <c r="DQ49" s="263"/>
      <c r="DR49" s="263"/>
      <c r="DS49" s="263"/>
      <c r="DT49" s="263"/>
      <c r="DU49" s="263"/>
      <c r="DV49" s="263"/>
      <c r="DW49" s="263"/>
      <c r="DX49" s="263"/>
      <c r="DY49" s="263"/>
      <c r="DZ49" s="263"/>
      <c r="EA49" s="263"/>
      <c r="EB49" s="263"/>
      <c r="EC49" s="263"/>
      <c r="ED49" s="263"/>
      <c r="EE49" s="263"/>
      <c r="EF49" s="263"/>
      <c r="EG49" s="263"/>
      <c r="EH49" s="263"/>
      <c r="EI49" s="263"/>
      <c r="EJ49" s="263"/>
      <c r="EK49" s="263"/>
      <c r="EL49" s="263"/>
      <c r="EM49" s="263"/>
      <c r="EN49" s="263"/>
      <c r="EO49" s="263"/>
      <c r="EP49" s="263"/>
      <c r="EQ49" s="263"/>
      <c r="ER49" s="263"/>
      <c r="ES49" s="263"/>
      <c r="ET49" s="263"/>
      <c r="EU49" s="263"/>
      <c r="EV49" s="263"/>
      <c r="EW49" s="263"/>
      <c r="EX49" s="263"/>
      <c r="EY49" s="263"/>
      <c r="EZ49" s="263"/>
      <c r="FA49" s="263"/>
      <c r="FB49" s="263"/>
      <c r="FC49" s="263"/>
      <c r="FD49" s="263"/>
      <c r="FE49" s="263"/>
      <c r="FF49" s="263"/>
      <c r="FG49" s="263"/>
      <c r="FH49" s="263"/>
      <c r="FI49" s="263"/>
      <c r="FJ49" s="263"/>
      <c r="FK49" s="263"/>
      <c r="FL49" s="263"/>
      <c r="FM49" s="263"/>
      <c r="FN49" s="263"/>
      <c r="FO49" s="263"/>
      <c r="FP49" s="263"/>
      <c r="FQ49" s="263"/>
      <c r="FR49" s="263"/>
      <c r="FS49" s="263"/>
      <c r="FT49" s="263"/>
      <c r="FU49" s="263"/>
      <c r="FV49" s="263"/>
      <c r="FW49" s="263"/>
      <c r="FX49" s="263"/>
      <c r="FY49" s="263"/>
      <c r="FZ49" s="263"/>
      <c r="GA49" s="263"/>
      <c r="GB49" s="263"/>
      <c r="GC49" s="263"/>
      <c r="GD49" s="263"/>
      <c r="GE49" s="263"/>
      <c r="GF49" s="263"/>
      <c r="GG49" s="263"/>
      <c r="GH49" s="263"/>
      <c r="GI49" s="263"/>
      <c r="GJ49" s="263"/>
      <c r="GK49" s="263"/>
      <c r="GL49" s="263"/>
      <c r="GM49" s="263"/>
      <c r="GN49" s="263"/>
      <c r="GO49" s="263"/>
      <c r="GP49" s="263"/>
      <c r="GQ49" s="263"/>
      <c r="GR49" s="263"/>
      <c r="GS49" s="263"/>
      <c r="GT49" s="263"/>
      <c r="GU49" s="263"/>
      <c r="GV49" s="263"/>
      <c r="GW49" s="263"/>
      <c r="GX49" s="263"/>
      <c r="GY49" s="263"/>
      <c r="GZ49" s="263"/>
      <c r="HA49" s="263"/>
      <c r="HB49" s="263"/>
      <c r="HC49" s="263"/>
      <c r="HD49" s="263"/>
      <c r="HE49" s="263"/>
      <c r="HF49" s="263"/>
      <c r="HG49" s="263"/>
      <c r="HH49" s="263"/>
      <c r="HI49" s="263"/>
      <c r="HJ49" s="263"/>
      <c r="HK49" s="263"/>
      <c r="HL49" s="263"/>
      <c r="HM49" s="263"/>
      <c r="HN49" s="263"/>
      <c r="HO49" s="263"/>
      <c r="HP49" s="263"/>
      <c r="HQ49" s="263"/>
      <c r="HR49" s="263"/>
      <c r="HS49" s="263"/>
      <c r="HT49" s="263"/>
      <c r="HU49" s="263"/>
      <c r="HV49" s="263"/>
      <c r="HW49" s="263"/>
      <c r="HX49" s="263"/>
      <c r="HY49" s="263"/>
      <c r="HZ49" s="263"/>
      <c r="IA49" s="263"/>
      <c r="IB49" s="263"/>
      <c r="IC49" s="263"/>
      <c r="ID49" s="263"/>
      <c r="IE49" s="263"/>
      <c r="IF49" s="263"/>
      <c r="IG49" s="263"/>
      <c r="IH49" s="263"/>
      <c r="II49" s="263"/>
      <c r="IJ49" s="263"/>
      <c r="IK49" s="263"/>
      <c r="IL49" s="263"/>
      <c r="IM49" s="263"/>
      <c r="IN49" s="263"/>
      <c r="IO49" s="263"/>
      <c r="IP49" s="263"/>
      <c r="IQ49" s="263"/>
      <c r="IR49" s="263"/>
      <c r="IS49" s="263"/>
      <c r="IT49" s="263"/>
      <c r="IU49" s="263"/>
      <c r="IV49" s="263"/>
    </row>
    <row r="50" spans="1:256" s="279" customFormat="1" ht="15" hidden="1" customHeight="1" x14ac:dyDescent="0.3">
      <c r="A50" s="638">
        <v>27180102</v>
      </c>
      <c r="B50" s="638" t="s">
        <v>413</v>
      </c>
      <c r="C50" s="638">
        <v>456.04</v>
      </c>
      <c r="D50" s="311"/>
      <c r="E50" s="305">
        <f>SUMIF(Adjustments!A:A,A50,Adjustments!C:C)</f>
        <v>0</v>
      </c>
      <c r="F50" s="639">
        <f t="shared" si="0"/>
        <v>456.04</v>
      </c>
      <c r="G50" s="263" t="str">
        <f>VLOOKUP('Trial Balance'!$A50,'Code Allocation'!$A:$D,3,0)</f>
        <v>CRA</v>
      </c>
      <c r="H50" s="266" t="str">
        <f>VLOOKUP('Trial Balance'!$A50,'Code Allocation'!$A:$D,4,0)</f>
        <v>Buildings &amp; Cultural Activities</v>
      </c>
      <c r="I50" s="267" t="str">
        <f>VLOOKUP('Trial Balance'!$A50,'Code Allocation'!$A:$E,5,0)</f>
        <v>Premises Related Expenses</v>
      </c>
      <c r="J50" s="268" t="str">
        <f>VLOOKUP('Trial Balance'!$A50,'Code Allocation'!$A:$F,6,0)</f>
        <v>Cleaning - Materials &amp; Equipment</v>
      </c>
      <c r="K50" s="263"/>
      <c r="L50" s="263"/>
      <c r="M50" s="263"/>
      <c r="N50" s="263"/>
      <c r="O50" s="263"/>
      <c r="P50" s="263"/>
      <c r="Q50" s="263"/>
      <c r="R50" s="263"/>
      <c r="S50" s="263"/>
      <c r="T50" s="263"/>
      <c r="U50" s="263"/>
      <c r="V50" s="263"/>
      <c r="W50" s="263"/>
      <c r="X50" s="263"/>
      <c r="Y50" s="263"/>
      <c r="Z50" s="263"/>
      <c r="AA50" s="263"/>
      <c r="AB50" s="263"/>
      <c r="AC50" s="263"/>
      <c r="AD50" s="263"/>
      <c r="AE50" s="263"/>
      <c r="AF50" s="263"/>
      <c r="AG50" s="263"/>
      <c r="AH50" s="263"/>
      <c r="AI50" s="263"/>
      <c r="AJ50" s="263"/>
      <c r="AK50" s="263"/>
      <c r="AL50" s="263"/>
      <c r="AM50" s="263"/>
      <c r="AN50" s="263"/>
      <c r="AO50" s="263"/>
      <c r="AP50" s="263"/>
      <c r="AQ50" s="263"/>
      <c r="AR50" s="263"/>
      <c r="AS50" s="263"/>
      <c r="AT50" s="263"/>
      <c r="AU50" s="263"/>
      <c r="AV50" s="263"/>
      <c r="AW50" s="263"/>
      <c r="AX50" s="263"/>
      <c r="AY50" s="263"/>
      <c r="AZ50" s="263"/>
      <c r="BA50" s="263"/>
      <c r="BB50" s="263"/>
      <c r="BC50" s="263"/>
      <c r="BD50" s="263"/>
      <c r="BE50" s="263"/>
      <c r="BF50" s="263"/>
      <c r="BG50" s="263"/>
      <c r="BH50" s="263"/>
      <c r="BI50" s="263"/>
      <c r="BJ50" s="263"/>
      <c r="BK50" s="263"/>
      <c r="BL50" s="263"/>
      <c r="BM50" s="263"/>
      <c r="BN50" s="263"/>
      <c r="BO50" s="263"/>
      <c r="BP50" s="263"/>
      <c r="BQ50" s="263"/>
      <c r="BR50" s="263"/>
      <c r="BS50" s="263"/>
      <c r="BT50" s="263"/>
      <c r="BU50" s="263"/>
      <c r="BV50" s="263"/>
      <c r="BW50" s="263"/>
      <c r="BX50" s="263"/>
      <c r="BY50" s="263"/>
      <c r="BZ50" s="263"/>
      <c r="CA50" s="263"/>
      <c r="CB50" s="263"/>
      <c r="CC50" s="263"/>
      <c r="CD50" s="263"/>
      <c r="CE50" s="263"/>
      <c r="CF50" s="263"/>
      <c r="CG50" s="263"/>
      <c r="CH50" s="263"/>
      <c r="CI50" s="263"/>
      <c r="CJ50" s="263"/>
      <c r="CK50" s="263"/>
      <c r="CL50" s="263"/>
      <c r="CM50" s="263"/>
      <c r="CN50" s="263"/>
      <c r="CO50" s="263"/>
      <c r="CP50" s="263"/>
      <c r="CQ50" s="263"/>
      <c r="CR50" s="263"/>
      <c r="CS50" s="263"/>
      <c r="CT50" s="263"/>
      <c r="CU50" s="263"/>
      <c r="CV50" s="263"/>
      <c r="CW50" s="263"/>
      <c r="CX50" s="263"/>
      <c r="CY50" s="263"/>
      <c r="CZ50" s="263"/>
      <c r="DA50" s="263"/>
      <c r="DB50" s="263"/>
      <c r="DC50" s="263"/>
      <c r="DD50" s="263"/>
      <c r="DE50" s="263"/>
      <c r="DF50" s="263"/>
      <c r="DG50" s="263"/>
      <c r="DH50" s="263"/>
      <c r="DI50" s="263"/>
      <c r="DJ50" s="263"/>
      <c r="DK50" s="263"/>
      <c r="DL50" s="263"/>
      <c r="DM50" s="263"/>
      <c r="DN50" s="263"/>
      <c r="DO50" s="263"/>
      <c r="DP50" s="263"/>
      <c r="DQ50" s="263"/>
      <c r="DR50" s="263"/>
      <c r="DS50" s="263"/>
      <c r="DT50" s="263"/>
      <c r="DU50" s="263"/>
      <c r="DV50" s="263"/>
      <c r="DW50" s="263"/>
      <c r="DX50" s="263"/>
      <c r="DY50" s="263"/>
      <c r="DZ50" s="263"/>
      <c r="EA50" s="263"/>
      <c r="EB50" s="263"/>
      <c r="EC50" s="263"/>
      <c r="ED50" s="263"/>
      <c r="EE50" s="263"/>
      <c r="EF50" s="263"/>
      <c r="EG50" s="263"/>
      <c r="EH50" s="263"/>
      <c r="EI50" s="263"/>
      <c r="EJ50" s="263"/>
      <c r="EK50" s="263"/>
      <c r="EL50" s="263"/>
      <c r="EM50" s="263"/>
      <c r="EN50" s="263"/>
      <c r="EO50" s="263"/>
      <c r="EP50" s="263"/>
      <c r="EQ50" s="263"/>
      <c r="ER50" s="263"/>
      <c r="ES50" s="263"/>
      <c r="ET50" s="263"/>
      <c r="EU50" s="263"/>
      <c r="EV50" s="263"/>
      <c r="EW50" s="263"/>
      <c r="EX50" s="263"/>
      <c r="EY50" s="263"/>
      <c r="EZ50" s="263"/>
      <c r="FA50" s="263"/>
      <c r="FB50" s="263"/>
      <c r="FC50" s="263"/>
      <c r="FD50" s="263"/>
      <c r="FE50" s="263"/>
      <c r="FF50" s="263"/>
      <c r="FG50" s="263"/>
      <c r="FH50" s="263"/>
      <c r="FI50" s="263"/>
      <c r="FJ50" s="263"/>
      <c r="FK50" s="263"/>
      <c r="FL50" s="263"/>
      <c r="FM50" s="263"/>
      <c r="FN50" s="263"/>
      <c r="FO50" s="263"/>
      <c r="FP50" s="263"/>
      <c r="FQ50" s="263"/>
      <c r="FR50" s="263"/>
      <c r="FS50" s="263"/>
      <c r="FT50" s="263"/>
      <c r="FU50" s="263"/>
      <c r="FV50" s="263"/>
      <c r="FW50" s="263"/>
      <c r="FX50" s="263"/>
      <c r="FY50" s="263"/>
      <c r="FZ50" s="263"/>
      <c r="GA50" s="263"/>
      <c r="GB50" s="263"/>
      <c r="GC50" s="263"/>
      <c r="GD50" s="263"/>
      <c r="GE50" s="263"/>
      <c r="GF50" s="263"/>
      <c r="GG50" s="263"/>
      <c r="GH50" s="263"/>
      <c r="GI50" s="263"/>
      <c r="GJ50" s="263"/>
      <c r="GK50" s="263"/>
      <c r="GL50" s="263"/>
      <c r="GM50" s="263"/>
      <c r="GN50" s="263"/>
      <c r="GO50" s="263"/>
      <c r="GP50" s="263"/>
      <c r="GQ50" s="263"/>
      <c r="GR50" s="263"/>
      <c r="GS50" s="263"/>
      <c r="GT50" s="263"/>
      <c r="GU50" s="263"/>
      <c r="GV50" s="263"/>
      <c r="GW50" s="263"/>
      <c r="GX50" s="263"/>
      <c r="GY50" s="263"/>
      <c r="GZ50" s="263"/>
      <c r="HA50" s="263"/>
      <c r="HB50" s="263"/>
      <c r="HC50" s="263"/>
      <c r="HD50" s="263"/>
      <c r="HE50" s="263"/>
      <c r="HF50" s="263"/>
      <c r="HG50" s="263"/>
      <c r="HH50" s="263"/>
      <c r="HI50" s="263"/>
      <c r="HJ50" s="263"/>
      <c r="HK50" s="263"/>
      <c r="HL50" s="263"/>
      <c r="HM50" s="263"/>
      <c r="HN50" s="263"/>
      <c r="HO50" s="263"/>
      <c r="HP50" s="263"/>
      <c r="HQ50" s="263"/>
      <c r="HR50" s="263"/>
      <c r="HS50" s="263"/>
      <c r="HT50" s="263"/>
      <c r="HU50" s="263"/>
      <c r="HV50" s="263"/>
      <c r="HW50" s="263"/>
      <c r="HX50" s="263"/>
      <c r="HY50" s="263"/>
      <c r="HZ50" s="263"/>
      <c r="IA50" s="263"/>
      <c r="IB50" s="263"/>
      <c r="IC50" s="263"/>
      <c r="ID50" s="263"/>
      <c r="IE50" s="263"/>
      <c r="IF50" s="263"/>
      <c r="IG50" s="263"/>
      <c r="IH50" s="263"/>
      <c r="II50" s="263"/>
      <c r="IJ50" s="263"/>
      <c r="IK50" s="263"/>
      <c r="IL50" s="263"/>
      <c r="IM50" s="263"/>
      <c r="IN50" s="263"/>
      <c r="IO50" s="263"/>
      <c r="IP50" s="263"/>
      <c r="IQ50" s="263"/>
      <c r="IR50" s="263"/>
      <c r="IS50" s="263"/>
      <c r="IT50" s="263"/>
      <c r="IU50" s="263"/>
      <c r="IV50" s="263"/>
    </row>
    <row r="51" spans="1:256" s="279" customFormat="1" ht="15" hidden="1" customHeight="1" x14ac:dyDescent="0.3">
      <c r="A51" s="638">
        <v>27180103</v>
      </c>
      <c r="B51" s="638" t="s">
        <v>414</v>
      </c>
      <c r="C51" s="638">
        <v>394.93</v>
      </c>
      <c r="D51" s="311"/>
      <c r="E51" s="305">
        <f>SUMIF(Adjustments!A:A,A51,Adjustments!C:C)</f>
        <v>0</v>
      </c>
      <c r="F51" s="639">
        <f t="shared" si="0"/>
        <v>394.93</v>
      </c>
      <c r="G51" s="263" t="str">
        <f>VLOOKUP('Trial Balance'!$A51,'Code Allocation'!$A:$D,3,0)</f>
        <v>CRA</v>
      </c>
      <c r="H51" s="266" t="str">
        <f>VLOOKUP('Trial Balance'!$A51,'Code Allocation'!$A:$D,4,0)</f>
        <v>Buildings &amp; Cultural Activities</v>
      </c>
      <c r="I51" s="267" t="str">
        <f>VLOOKUP('Trial Balance'!$A51,'Code Allocation'!$A:$E,5,0)</f>
        <v>Premises Related Expenses</v>
      </c>
      <c r="J51" s="268" t="str">
        <f>VLOOKUP('Trial Balance'!$A51,'Code Allocation'!$A:$F,6,0)</f>
        <v>Cleaning - Materials &amp; Equipment</v>
      </c>
      <c r="K51" s="263"/>
      <c r="L51" s="263"/>
      <c r="M51" s="263"/>
      <c r="N51" s="263"/>
      <c r="O51" s="263"/>
      <c r="P51" s="263"/>
      <c r="Q51" s="263"/>
      <c r="R51" s="263"/>
      <c r="S51" s="263"/>
      <c r="T51" s="263"/>
      <c r="U51" s="263"/>
      <c r="V51" s="263"/>
      <c r="W51" s="263"/>
      <c r="X51" s="263"/>
      <c r="Y51" s="263"/>
      <c r="Z51" s="263"/>
      <c r="AA51" s="263"/>
      <c r="AB51" s="263"/>
      <c r="AC51" s="263"/>
      <c r="AD51" s="263"/>
      <c r="AE51" s="263"/>
      <c r="AF51" s="263"/>
      <c r="AG51" s="263"/>
      <c r="AH51" s="263"/>
      <c r="AI51" s="263"/>
      <c r="AJ51" s="263"/>
      <c r="AK51" s="263"/>
      <c r="AL51" s="263"/>
      <c r="AM51" s="263"/>
      <c r="AN51" s="263"/>
      <c r="AO51" s="263"/>
      <c r="AP51" s="263"/>
      <c r="AQ51" s="263"/>
      <c r="AR51" s="263"/>
      <c r="AS51" s="263"/>
      <c r="AT51" s="263"/>
      <c r="AU51" s="263"/>
      <c r="AV51" s="263"/>
      <c r="AW51" s="263"/>
      <c r="AX51" s="263"/>
      <c r="AY51" s="263"/>
      <c r="AZ51" s="263"/>
      <c r="BA51" s="263"/>
      <c r="BB51" s="263"/>
      <c r="BC51" s="263"/>
      <c r="BD51" s="263"/>
      <c r="BE51" s="263"/>
      <c r="BF51" s="263"/>
      <c r="BG51" s="263"/>
      <c r="BH51" s="263"/>
      <c r="BI51" s="263"/>
      <c r="BJ51" s="263"/>
      <c r="BK51" s="263"/>
      <c r="BL51" s="263"/>
      <c r="BM51" s="263"/>
      <c r="BN51" s="263"/>
      <c r="BO51" s="263"/>
      <c r="BP51" s="263"/>
      <c r="BQ51" s="263"/>
      <c r="BR51" s="263"/>
      <c r="BS51" s="263"/>
      <c r="BT51" s="263"/>
      <c r="BU51" s="263"/>
      <c r="BV51" s="263"/>
      <c r="BW51" s="263"/>
      <c r="BX51" s="263"/>
      <c r="BY51" s="263"/>
      <c r="BZ51" s="263"/>
      <c r="CA51" s="263"/>
      <c r="CB51" s="263"/>
      <c r="CC51" s="263"/>
      <c r="CD51" s="263"/>
      <c r="CE51" s="263"/>
      <c r="CF51" s="263"/>
      <c r="CG51" s="263"/>
      <c r="CH51" s="263"/>
      <c r="CI51" s="263"/>
      <c r="CJ51" s="263"/>
      <c r="CK51" s="263"/>
      <c r="CL51" s="263"/>
      <c r="CM51" s="263"/>
      <c r="CN51" s="263"/>
      <c r="CO51" s="263"/>
      <c r="CP51" s="263"/>
      <c r="CQ51" s="263"/>
      <c r="CR51" s="263"/>
      <c r="CS51" s="263"/>
      <c r="CT51" s="263"/>
      <c r="CU51" s="263"/>
      <c r="CV51" s="263"/>
      <c r="CW51" s="263"/>
      <c r="CX51" s="263"/>
      <c r="CY51" s="263"/>
      <c r="CZ51" s="263"/>
      <c r="DA51" s="263"/>
      <c r="DB51" s="263"/>
      <c r="DC51" s="263"/>
      <c r="DD51" s="263"/>
      <c r="DE51" s="263"/>
      <c r="DF51" s="263"/>
      <c r="DG51" s="263"/>
      <c r="DH51" s="263"/>
      <c r="DI51" s="263"/>
      <c r="DJ51" s="263"/>
      <c r="DK51" s="263"/>
      <c r="DL51" s="263"/>
      <c r="DM51" s="263"/>
      <c r="DN51" s="263"/>
      <c r="DO51" s="263"/>
      <c r="DP51" s="263"/>
      <c r="DQ51" s="263"/>
      <c r="DR51" s="263"/>
      <c r="DS51" s="263"/>
      <c r="DT51" s="263"/>
      <c r="DU51" s="263"/>
      <c r="DV51" s="263"/>
      <c r="DW51" s="263"/>
      <c r="DX51" s="263"/>
      <c r="DY51" s="263"/>
      <c r="DZ51" s="263"/>
      <c r="EA51" s="263"/>
      <c r="EB51" s="263"/>
      <c r="EC51" s="263"/>
      <c r="ED51" s="263"/>
      <c r="EE51" s="263"/>
      <c r="EF51" s="263"/>
      <c r="EG51" s="263"/>
      <c r="EH51" s="263"/>
      <c r="EI51" s="263"/>
      <c r="EJ51" s="263"/>
      <c r="EK51" s="263"/>
      <c r="EL51" s="263"/>
      <c r="EM51" s="263"/>
      <c r="EN51" s="263"/>
      <c r="EO51" s="263"/>
      <c r="EP51" s="263"/>
      <c r="EQ51" s="263"/>
      <c r="ER51" s="263"/>
      <c r="ES51" s="263"/>
      <c r="ET51" s="263"/>
      <c r="EU51" s="263"/>
      <c r="EV51" s="263"/>
      <c r="EW51" s="263"/>
      <c r="EX51" s="263"/>
      <c r="EY51" s="263"/>
      <c r="EZ51" s="263"/>
      <c r="FA51" s="263"/>
      <c r="FB51" s="263"/>
      <c r="FC51" s="263"/>
      <c r="FD51" s="263"/>
      <c r="FE51" s="263"/>
      <c r="FF51" s="263"/>
      <c r="FG51" s="263"/>
      <c r="FH51" s="263"/>
      <c r="FI51" s="263"/>
      <c r="FJ51" s="263"/>
      <c r="FK51" s="263"/>
      <c r="FL51" s="263"/>
      <c r="FM51" s="263"/>
      <c r="FN51" s="263"/>
      <c r="FO51" s="263"/>
      <c r="FP51" s="263"/>
      <c r="FQ51" s="263"/>
      <c r="FR51" s="263"/>
      <c r="FS51" s="263"/>
      <c r="FT51" s="263"/>
      <c r="FU51" s="263"/>
      <c r="FV51" s="263"/>
      <c r="FW51" s="263"/>
      <c r="FX51" s="263"/>
      <c r="FY51" s="263"/>
      <c r="FZ51" s="263"/>
      <c r="GA51" s="263"/>
      <c r="GB51" s="263"/>
      <c r="GC51" s="263"/>
      <c r="GD51" s="263"/>
      <c r="GE51" s="263"/>
      <c r="GF51" s="263"/>
      <c r="GG51" s="263"/>
      <c r="GH51" s="263"/>
      <c r="GI51" s="263"/>
      <c r="GJ51" s="263"/>
      <c r="GK51" s="263"/>
      <c r="GL51" s="263"/>
      <c r="GM51" s="263"/>
      <c r="GN51" s="263"/>
      <c r="GO51" s="263"/>
      <c r="GP51" s="263"/>
      <c r="GQ51" s="263"/>
      <c r="GR51" s="263"/>
      <c r="GS51" s="263"/>
      <c r="GT51" s="263"/>
      <c r="GU51" s="263"/>
      <c r="GV51" s="263"/>
      <c r="GW51" s="263"/>
      <c r="GX51" s="263"/>
      <c r="GY51" s="263"/>
      <c r="GZ51" s="263"/>
      <c r="HA51" s="263"/>
      <c r="HB51" s="263"/>
      <c r="HC51" s="263"/>
      <c r="HD51" s="263"/>
      <c r="HE51" s="263"/>
      <c r="HF51" s="263"/>
      <c r="HG51" s="263"/>
      <c r="HH51" s="263"/>
      <c r="HI51" s="263"/>
      <c r="HJ51" s="263"/>
      <c r="HK51" s="263"/>
      <c r="HL51" s="263"/>
      <c r="HM51" s="263"/>
      <c r="HN51" s="263"/>
      <c r="HO51" s="263"/>
      <c r="HP51" s="263"/>
      <c r="HQ51" s="263"/>
      <c r="HR51" s="263"/>
      <c r="HS51" s="263"/>
      <c r="HT51" s="263"/>
      <c r="HU51" s="263"/>
      <c r="HV51" s="263"/>
      <c r="HW51" s="263"/>
      <c r="HX51" s="263"/>
      <c r="HY51" s="263"/>
      <c r="HZ51" s="263"/>
      <c r="IA51" s="263"/>
      <c r="IB51" s="263"/>
      <c r="IC51" s="263"/>
      <c r="ID51" s="263"/>
      <c r="IE51" s="263"/>
      <c r="IF51" s="263"/>
      <c r="IG51" s="263"/>
      <c r="IH51" s="263"/>
      <c r="II51" s="263"/>
      <c r="IJ51" s="263"/>
      <c r="IK51" s="263"/>
      <c r="IL51" s="263"/>
      <c r="IM51" s="263"/>
      <c r="IN51" s="263"/>
      <c r="IO51" s="263"/>
      <c r="IP51" s="263"/>
      <c r="IQ51" s="263"/>
      <c r="IR51" s="263"/>
      <c r="IS51" s="263"/>
      <c r="IT51" s="263"/>
      <c r="IU51" s="263"/>
      <c r="IV51" s="263"/>
    </row>
    <row r="52" spans="1:256" ht="15" hidden="1" customHeight="1" x14ac:dyDescent="0.3">
      <c r="A52" s="638">
        <v>27180199</v>
      </c>
      <c r="B52" s="638" t="s">
        <v>415</v>
      </c>
      <c r="C52" s="638">
        <v>688.33</v>
      </c>
      <c r="D52" s="311"/>
      <c r="E52" s="305">
        <f>SUMIF(Adjustments!A:A,A52,Adjustments!C:C)</f>
        <v>0</v>
      </c>
      <c r="F52" s="639">
        <f t="shared" si="0"/>
        <v>688.33</v>
      </c>
      <c r="G52" s="263" t="str">
        <f>VLOOKUP('Trial Balance'!$A52,'Code Allocation'!$A:$D,3,0)</f>
        <v>CRA</v>
      </c>
      <c r="H52" s="266" t="str">
        <f>VLOOKUP('Trial Balance'!$A52,'Code Allocation'!$A:$D,4,0)</f>
        <v>Buildings &amp; Cultural Activities</v>
      </c>
      <c r="I52" s="267" t="str">
        <f>VLOOKUP('Trial Balance'!$A52,'Code Allocation'!$A:$E,5,0)</f>
        <v>Premises Related Expenses</v>
      </c>
      <c r="J52" s="268" t="str">
        <f>VLOOKUP('Trial Balance'!$A52,'Code Allocation'!$A:$F,6,0)</f>
        <v>Cleaning - Materials &amp; Equipment</v>
      </c>
    </row>
    <row r="53" spans="1:256" ht="15" hidden="1" customHeight="1" x14ac:dyDescent="0.3">
      <c r="A53" s="638">
        <v>27190102</v>
      </c>
      <c r="B53" s="638" t="s">
        <v>416</v>
      </c>
      <c r="C53" s="638">
        <v>68.19</v>
      </c>
      <c r="D53" s="311"/>
      <c r="E53" s="305">
        <f>SUMIF(Adjustments!A:A,A53,Adjustments!C:C)</f>
        <v>0</v>
      </c>
      <c r="F53" s="639">
        <f t="shared" si="0"/>
        <v>68.19</v>
      </c>
      <c r="G53" s="263" t="str">
        <f>VLOOKUP('Trial Balance'!$A53,'Code Allocation'!$A:$D,3,0)</f>
        <v>CRA</v>
      </c>
      <c r="H53" s="266" t="str">
        <f>VLOOKUP('Trial Balance'!$A53,'Code Allocation'!$A:$D,4,0)</f>
        <v>Buildings &amp; Cultural Activities</v>
      </c>
      <c r="I53" s="267" t="str">
        <f>VLOOKUP('Trial Balance'!$A53,'Code Allocation'!$A:$E,5,0)</f>
        <v>Premises Related Expenses</v>
      </c>
      <c r="J53" s="268" t="str">
        <f>VLOOKUP('Trial Balance'!$A53,'Code Allocation'!$A:$F,6,0)</f>
        <v>Repairs &amp; Maintenance - General</v>
      </c>
    </row>
    <row r="54" spans="1:256" ht="15" hidden="1" customHeight="1" x14ac:dyDescent="0.3">
      <c r="A54" s="638">
        <v>27190108</v>
      </c>
      <c r="B54" s="638" t="s">
        <v>417</v>
      </c>
      <c r="C54" s="638">
        <v>614.9</v>
      </c>
      <c r="D54" s="311"/>
      <c r="E54" s="305">
        <f>SUMIF(Adjustments!A:A,A54,Adjustments!C:C)</f>
        <v>0</v>
      </c>
      <c r="F54" s="639">
        <f t="shared" si="0"/>
        <v>614.9</v>
      </c>
      <c r="G54" s="263" t="str">
        <f>VLOOKUP('Trial Balance'!$A54,'Code Allocation'!$A:$D,3,0)</f>
        <v>CRA</v>
      </c>
      <c r="H54" s="266" t="str">
        <f>VLOOKUP('Trial Balance'!$A54,'Code Allocation'!$A:$D,4,0)</f>
        <v>Buildings &amp; Cultural Activities</v>
      </c>
      <c r="I54" s="267" t="str">
        <f>VLOOKUP('Trial Balance'!$A54,'Code Allocation'!$A:$E,5,0)</f>
        <v>Premises Related Expenses</v>
      </c>
      <c r="J54" s="268" t="str">
        <f>VLOOKUP('Trial Balance'!$A54,'Code Allocation'!$A:$F,6,0)</f>
        <v>Repairs &amp; Maintenance - Clock</v>
      </c>
    </row>
    <row r="55" spans="1:256" ht="15" hidden="1" customHeight="1" x14ac:dyDescent="0.3">
      <c r="A55" s="638">
        <v>27190109</v>
      </c>
      <c r="B55" s="638" t="s">
        <v>418</v>
      </c>
      <c r="C55" s="638">
        <v>62.52</v>
      </c>
      <c r="D55" s="311"/>
      <c r="E55" s="305">
        <f>SUMIF(Adjustments!A:A,A55,Adjustments!C:C)</f>
        <v>0</v>
      </c>
      <c r="F55" s="639">
        <f t="shared" si="0"/>
        <v>62.52</v>
      </c>
      <c r="G55" s="263" t="str">
        <f>VLOOKUP('Trial Balance'!$A55,'Code Allocation'!$A:$D,3,0)</f>
        <v>CRA</v>
      </c>
      <c r="H55" s="266" t="str">
        <f>VLOOKUP('Trial Balance'!$A55,'Code Allocation'!$A:$D,4,0)</f>
        <v>Buildings &amp; Cultural Activities</v>
      </c>
      <c r="I55" s="267" t="str">
        <f>VLOOKUP('Trial Balance'!$A55,'Code Allocation'!$A:$E,5,0)</f>
        <v>Premises Related Expenses</v>
      </c>
      <c r="J55" s="268" t="str">
        <f>VLOOKUP('Trial Balance'!$A55,'Code Allocation'!$A:$F,6,0)</f>
        <v>Repairs &amp; Maintenance - Clock</v>
      </c>
    </row>
    <row r="56" spans="1:256" ht="15" hidden="1" customHeight="1" x14ac:dyDescent="0.3">
      <c r="A56" s="638">
        <v>27190199</v>
      </c>
      <c r="B56" s="638" t="s">
        <v>419</v>
      </c>
      <c r="C56" s="640">
        <v>1550.87</v>
      </c>
      <c r="D56" s="311"/>
      <c r="E56" s="305">
        <f>SUMIF(Adjustments!A:A,A56,Adjustments!C:C)</f>
        <v>0</v>
      </c>
      <c r="F56" s="278">
        <f t="shared" si="0"/>
        <v>1550.87</v>
      </c>
      <c r="G56" s="263" t="str">
        <f>VLOOKUP('Trial Balance'!$A56,'Code Allocation'!$A:$D,3,0)</f>
        <v>CRA</v>
      </c>
      <c r="H56" s="266" t="str">
        <f>VLOOKUP('Trial Balance'!$A56,'Code Allocation'!$A:$D,4,0)</f>
        <v>Buildings &amp; Cultural Activities</v>
      </c>
      <c r="I56" s="267" t="str">
        <f>VLOOKUP('Trial Balance'!$A56,'Code Allocation'!$A:$E,5,0)</f>
        <v>Premises Related Expenses</v>
      </c>
      <c r="J56" s="268" t="str">
        <f>VLOOKUP('Trial Balance'!$A56,'Code Allocation'!$A:$F,6,0)</f>
        <v>Repairs &amp; Maintenance - General</v>
      </c>
    </row>
    <row r="57" spans="1:256" ht="15" hidden="1" customHeight="1" x14ac:dyDescent="0.3">
      <c r="A57" s="638">
        <v>27190202</v>
      </c>
      <c r="B57" s="638" t="s">
        <v>420</v>
      </c>
      <c r="C57" s="638">
        <v>866.38</v>
      </c>
      <c r="D57" s="311"/>
      <c r="E57" s="305">
        <f>SUMIF(Adjustments!A:A,A57,Adjustments!C:C)</f>
        <v>0</v>
      </c>
      <c r="F57" s="278">
        <f t="shared" si="0"/>
        <v>866.38</v>
      </c>
      <c r="G57" s="263" t="str">
        <f>VLOOKUP('Trial Balance'!$A57,'Code Allocation'!$A:$D,3,0)</f>
        <v>CRA</v>
      </c>
      <c r="H57" s="266" t="str">
        <f>VLOOKUP('Trial Balance'!$A57,'Code Allocation'!$A:$D,4,0)</f>
        <v>Buildings &amp; Cultural Activities</v>
      </c>
      <c r="I57" s="267" t="str">
        <f>VLOOKUP('Trial Balance'!$A57,'Code Allocation'!$A:$E,5,0)</f>
        <v>Premises Related Expenses</v>
      </c>
      <c r="J57" s="268" t="str">
        <f>VLOOKUP('Trial Balance'!$A57,'Code Allocation'!$A:$F,6,0)</f>
        <v>Repairs &amp; Maintenance - General</v>
      </c>
    </row>
    <row r="58" spans="1:256" ht="15" hidden="1" customHeight="1" x14ac:dyDescent="0.3">
      <c r="A58" s="638">
        <v>27190499</v>
      </c>
      <c r="B58" s="638" t="s">
        <v>421</v>
      </c>
      <c r="C58" s="638">
        <v>852.98</v>
      </c>
      <c r="D58" s="311"/>
      <c r="E58" s="305">
        <f>SUMIF(Adjustments!A:A,A58,Adjustments!C:C)</f>
        <v>0</v>
      </c>
      <c r="F58" s="278">
        <f t="shared" si="0"/>
        <v>852.98</v>
      </c>
      <c r="G58" s="263" t="str">
        <f>VLOOKUP('Trial Balance'!$A58,'Code Allocation'!$A:$D,3,0)</f>
        <v>CRA</v>
      </c>
      <c r="H58" s="266" t="str">
        <f>VLOOKUP('Trial Balance'!$A58,'Code Allocation'!$A:$D,4,0)</f>
        <v>Buildings &amp; Cultural Activities</v>
      </c>
      <c r="I58" s="267" t="str">
        <f>VLOOKUP('Trial Balance'!$A58,'Code Allocation'!$A:$E,5,0)</f>
        <v>Premises Related Expenses</v>
      </c>
      <c r="J58" s="268" t="str">
        <f>VLOOKUP('Trial Balance'!$A58,'Code Allocation'!$A:$F,6,0)</f>
        <v>Repairs &amp; Maintenance - General</v>
      </c>
    </row>
    <row r="59" spans="1:256" ht="15" hidden="1" customHeight="1" x14ac:dyDescent="0.3">
      <c r="A59" s="638">
        <v>27190502</v>
      </c>
      <c r="B59" s="638" t="s">
        <v>422</v>
      </c>
      <c r="C59" s="638">
        <v>213.1</v>
      </c>
      <c r="D59" s="311"/>
      <c r="E59" s="305">
        <f>SUMIF(Adjustments!A:A,A59,Adjustments!C:C)</f>
        <v>0</v>
      </c>
      <c r="F59" s="278">
        <f t="shared" si="0"/>
        <v>213.1</v>
      </c>
      <c r="G59" s="263" t="str">
        <f>VLOOKUP('Trial Balance'!$A59,'Code Allocation'!$A:$D,3,0)</f>
        <v>CRA</v>
      </c>
      <c r="H59" s="266" t="str">
        <f>VLOOKUP('Trial Balance'!$A59,'Code Allocation'!$A:$D,4,0)</f>
        <v>Buildings &amp; Cultural Activities</v>
      </c>
      <c r="I59" s="267" t="str">
        <f>VLOOKUP('Trial Balance'!$A59,'Code Allocation'!$A:$E,5,0)</f>
        <v>Premises Related Expenses</v>
      </c>
      <c r="J59" s="268" t="str">
        <f>VLOOKUP('Trial Balance'!$A59,'Code Allocation'!$A:$F,6,0)</f>
        <v>Repairs &amp; Maintenance - General</v>
      </c>
    </row>
    <row r="60" spans="1:256" ht="15" hidden="1" customHeight="1" x14ac:dyDescent="0.3">
      <c r="A60" s="638">
        <v>27190503</v>
      </c>
      <c r="B60" s="638" t="s">
        <v>423</v>
      </c>
      <c r="C60" s="638">
        <v>324.02999999999997</v>
      </c>
      <c r="D60" s="311"/>
      <c r="E60" s="305">
        <f>SUMIF(Adjustments!A:A,A60,Adjustments!C:C)</f>
        <v>0</v>
      </c>
      <c r="F60" s="278">
        <f t="shared" si="0"/>
        <v>324.02999999999997</v>
      </c>
      <c r="G60" s="263" t="str">
        <f>VLOOKUP('Trial Balance'!$A60,'Code Allocation'!$A:$D,3,0)</f>
        <v>CRA</v>
      </c>
      <c r="H60" s="266" t="str">
        <f>VLOOKUP('Trial Balance'!$A60,'Code Allocation'!$A:$D,4,0)</f>
        <v>Buildings &amp; Cultural Activities</v>
      </c>
      <c r="I60" s="267" t="str">
        <f>VLOOKUP('Trial Balance'!$A60,'Code Allocation'!$A:$E,5,0)</f>
        <v>Premises Related Expenses</v>
      </c>
      <c r="J60" s="268" t="str">
        <f>VLOOKUP('Trial Balance'!$A60,'Code Allocation'!$A:$F,6,0)</f>
        <v>Repairs &amp; Maintenance - General</v>
      </c>
    </row>
    <row r="61" spans="1:256" ht="15" hidden="1" customHeight="1" x14ac:dyDescent="0.3">
      <c r="A61" s="638">
        <v>27190504</v>
      </c>
      <c r="B61" s="638" t="s">
        <v>424</v>
      </c>
      <c r="C61" s="638">
        <v>119.6</v>
      </c>
      <c r="D61" s="311"/>
      <c r="E61" s="305">
        <f>SUMIF(Adjustments!A:A,A61,Adjustments!C:C)</f>
        <v>0</v>
      </c>
      <c r="F61" s="278">
        <f t="shared" si="0"/>
        <v>119.6</v>
      </c>
      <c r="G61" s="263" t="str">
        <f>VLOOKUP('Trial Balance'!$A61,'Code Allocation'!$A:$D,3,0)</f>
        <v>CRA</v>
      </c>
      <c r="H61" s="266" t="str">
        <f>VLOOKUP('Trial Balance'!$A61,'Code Allocation'!$A:$D,4,0)</f>
        <v>Buildings &amp; Cultural Activities</v>
      </c>
      <c r="I61" s="267" t="str">
        <f>VLOOKUP('Trial Balance'!$A61,'Code Allocation'!$A:$E,5,0)</f>
        <v>Premises Related Expenses</v>
      </c>
      <c r="J61" s="268" t="str">
        <f>VLOOKUP('Trial Balance'!$A61,'Code Allocation'!$A:$F,6,0)</f>
        <v>Repairs &amp; Maintenance - General</v>
      </c>
    </row>
    <row r="62" spans="1:256" ht="15" hidden="1" customHeight="1" x14ac:dyDescent="0.3">
      <c r="A62" s="638">
        <v>27190510</v>
      </c>
      <c r="B62" s="638" t="s">
        <v>425</v>
      </c>
      <c r="C62" s="638">
        <v>84.78</v>
      </c>
      <c r="D62" s="311"/>
      <c r="E62" s="305">
        <f>SUMIF(Adjustments!A:A,A62,Adjustments!C:C)</f>
        <v>0</v>
      </c>
      <c r="F62" s="278">
        <f t="shared" si="0"/>
        <v>84.78</v>
      </c>
      <c r="G62" s="263" t="str">
        <f>VLOOKUP('Trial Balance'!$A62,'Code Allocation'!$A:$D,3,0)</f>
        <v>CRA</v>
      </c>
      <c r="H62" s="266" t="str">
        <f>VLOOKUP('Trial Balance'!$A62,'Code Allocation'!$A:$D,4,0)</f>
        <v>Buildings &amp; Cultural Activities</v>
      </c>
      <c r="I62" s="267" t="str">
        <f>VLOOKUP('Trial Balance'!$A62,'Code Allocation'!$A:$E,5,0)</f>
        <v>Premises Related Expenses</v>
      </c>
      <c r="J62" s="268" t="str">
        <f>VLOOKUP('Trial Balance'!$A62,'Code Allocation'!$A:$F,6,0)</f>
        <v>Repairs &amp; Maintenance - General</v>
      </c>
    </row>
    <row r="63" spans="1:256" ht="15" hidden="1" customHeight="1" x14ac:dyDescent="0.3">
      <c r="A63" s="638">
        <v>27190599</v>
      </c>
      <c r="B63" s="638" t="s">
        <v>426</v>
      </c>
      <c r="C63" s="311"/>
      <c r="D63" s="638">
        <v>165.43</v>
      </c>
      <c r="E63" s="305">
        <f>SUMIF(Adjustments!A:A,A63,Adjustments!C:C)</f>
        <v>0</v>
      </c>
      <c r="F63" s="278">
        <f t="shared" si="0"/>
        <v>-165.43</v>
      </c>
      <c r="G63" s="263" t="str">
        <f>VLOOKUP('Trial Balance'!$A63,'Code Allocation'!$A:$D,3,0)</f>
        <v>CRA</v>
      </c>
      <c r="H63" s="266" t="str">
        <f>VLOOKUP('Trial Balance'!$A63,'Code Allocation'!$A:$D,4,0)</f>
        <v>Buildings &amp; Cultural Activities</v>
      </c>
      <c r="I63" s="267" t="str">
        <f>VLOOKUP('Trial Balance'!$A63,'Code Allocation'!$A:$E,5,0)</f>
        <v>Premises Related Expenses</v>
      </c>
      <c r="J63" s="268" t="str">
        <f>VLOOKUP('Trial Balance'!$A63,'Code Allocation'!$A:$F,6,0)</f>
        <v>Repairs &amp; Maintenance - General</v>
      </c>
    </row>
    <row r="64" spans="1:256" ht="15" hidden="1" customHeight="1" x14ac:dyDescent="0.3">
      <c r="A64" s="638">
        <v>27300199</v>
      </c>
      <c r="B64" s="638" t="s">
        <v>379</v>
      </c>
      <c r="C64" s="638">
        <v>61.28</v>
      </c>
      <c r="D64" s="311"/>
      <c r="E64" s="305">
        <f>SUMIF(Adjustments!A:A,A64,Adjustments!C:C)</f>
        <v>0</v>
      </c>
      <c r="F64" s="278">
        <f t="shared" si="0"/>
        <v>61.28</v>
      </c>
      <c r="G64" s="263" t="str">
        <f>VLOOKUP('Trial Balance'!$A64,'Code Allocation'!$A:$D,3,0)</f>
        <v>CRA</v>
      </c>
      <c r="H64" s="266" t="str">
        <f>VLOOKUP('Trial Balance'!$A64,'Code Allocation'!$A:$D,4,0)</f>
        <v>Buildings &amp; Cultural Activities</v>
      </c>
      <c r="I64" s="267" t="str">
        <f>VLOOKUP('Trial Balance'!$A64,'Code Allocation'!$A:$E,5,0)</f>
        <v>Transport related expenses</v>
      </c>
      <c r="J64" s="268" t="str">
        <f>VLOOKUP('Trial Balance'!$A64,'Code Allocation'!$A:$F,6,0)</f>
        <v>Pick-up</v>
      </c>
    </row>
    <row r="65" spans="1:256" ht="15" hidden="1" customHeight="1" x14ac:dyDescent="0.3">
      <c r="A65" s="638">
        <v>27300299</v>
      </c>
      <c r="B65" s="638" t="s">
        <v>379</v>
      </c>
      <c r="C65" s="638">
        <v>33.76</v>
      </c>
      <c r="D65" s="311"/>
      <c r="E65" s="305">
        <f>SUMIF(Adjustments!A:A,A65,Adjustments!C:C)</f>
        <v>0</v>
      </c>
      <c r="F65" s="278">
        <f t="shared" si="0"/>
        <v>33.76</v>
      </c>
      <c r="G65" s="263" t="str">
        <f>VLOOKUP('Trial Balance'!$A65,'Code Allocation'!$A:$D,3,0)</f>
        <v>CRA</v>
      </c>
      <c r="H65" s="266" t="str">
        <f>VLOOKUP('Trial Balance'!$A65,'Code Allocation'!$A:$D,4,0)</f>
        <v>Buildings &amp; Cultural Activities</v>
      </c>
      <c r="I65" s="267" t="str">
        <f>VLOOKUP('Trial Balance'!$A65,'Code Allocation'!$A:$E,5,0)</f>
        <v>Transport related expenses</v>
      </c>
      <c r="J65" s="268" t="str">
        <f>VLOOKUP('Trial Balance'!$A65,'Code Allocation'!$A:$F,6,0)</f>
        <v>Pick-up</v>
      </c>
    </row>
    <row r="66" spans="1:256" ht="15" hidden="1" customHeight="1" x14ac:dyDescent="0.3">
      <c r="A66" s="638">
        <v>27300399</v>
      </c>
      <c r="B66" s="638" t="s">
        <v>379</v>
      </c>
      <c r="C66" s="638">
        <v>64.12</v>
      </c>
      <c r="D66" s="311"/>
      <c r="E66" s="305">
        <f>SUMIF(Adjustments!A:A,A66,Adjustments!C:C)</f>
        <v>0</v>
      </c>
      <c r="F66" s="639">
        <f t="shared" si="0"/>
        <v>64.12</v>
      </c>
      <c r="G66" s="263" t="str">
        <f>VLOOKUP('Trial Balance'!$A66,'Code Allocation'!$A:$D,3,0)</f>
        <v>CRA</v>
      </c>
      <c r="H66" s="266" t="str">
        <f>VLOOKUP('Trial Balance'!$A66,'Code Allocation'!$A:$D,4,0)</f>
        <v>Buildings &amp; Cultural Activities</v>
      </c>
      <c r="I66" s="267" t="str">
        <f>VLOOKUP('Trial Balance'!$A66,'Code Allocation'!$A:$E,5,0)</f>
        <v>Transport related expenses</v>
      </c>
      <c r="J66" s="268" t="str">
        <f>VLOOKUP('Trial Balance'!$A66,'Code Allocation'!$A:$F,6,0)</f>
        <v>Pick-up</v>
      </c>
    </row>
    <row r="67" spans="1:256" ht="15" hidden="1" customHeight="1" x14ac:dyDescent="0.3">
      <c r="A67" s="638">
        <v>27310199</v>
      </c>
      <c r="B67" s="638" t="s">
        <v>380</v>
      </c>
      <c r="C67" s="638">
        <v>82.51</v>
      </c>
      <c r="D67" s="311"/>
      <c r="E67" s="305">
        <f>SUMIF(Adjustments!A:A,A67,Adjustments!C:C)</f>
        <v>0</v>
      </c>
      <c r="F67" s="278">
        <f t="shared" si="0"/>
        <v>82.51</v>
      </c>
      <c r="G67" s="263" t="str">
        <f>VLOOKUP('Trial Balance'!$A67,'Code Allocation'!$A:$D,3,0)</f>
        <v>CRA</v>
      </c>
      <c r="H67" s="266" t="str">
        <f>VLOOKUP('Trial Balance'!$A67,'Code Allocation'!$A:$D,4,0)</f>
        <v>Buildings &amp; Cultural Activities</v>
      </c>
      <c r="I67" s="267" t="str">
        <f>VLOOKUP('Trial Balance'!$A67,'Code Allocation'!$A:$E,5,0)</f>
        <v>Transport related expenses</v>
      </c>
      <c r="J67" s="268" t="str">
        <f>VLOOKUP('Trial Balance'!$A67,'Code Allocation'!$A:$F,6,0)</f>
        <v>Pick-up</v>
      </c>
    </row>
    <row r="68" spans="1:256" ht="15" hidden="1" customHeight="1" x14ac:dyDescent="0.3">
      <c r="A68" s="638">
        <v>27310299</v>
      </c>
      <c r="B68" s="638" t="s">
        <v>381</v>
      </c>
      <c r="C68" s="638">
        <v>46.93</v>
      </c>
      <c r="D68" s="311"/>
      <c r="E68" s="305">
        <f>SUMIF(Adjustments!A:A,A68,Adjustments!C:C)</f>
        <v>0</v>
      </c>
      <c r="F68" s="278">
        <f t="shared" si="0"/>
        <v>46.93</v>
      </c>
      <c r="G68" s="263" t="str">
        <f>VLOOKUP('Trial Balance'!$A68,'Code Allocation'!$A:$D,3,0)</f>
        <v>CRA</v>
      </c>
      <c r="H68" s="266" t="str">
        <f>VLOOKUP('Trial Balance'!$A68,'Code Allocation'!$A:$D,4,0)</f>
        <v>Buildings &amp; Cultural Activities</v>
      </c>
      <c r="I68" s="267" t="str">
        <f>VLOOKUP('Trial Balance'!$A68,'Code Allocation'!$A:$E,5,0)</f>
        <v>Transport related expenses</v>
      </c>
      <c r="J68" s="268" t="str">
        <f>VLOOKUP('Trial Balance'!$A68,'Code Allocation'!$A:$F,6,0)</f>
        <v>Pick-up</v>
      </c>
    </row>
    <row r="69" spans="1:256" s="279" customFormat="1" ht="15" hidden="1" customHeight="1" x14ac:dyDescent="0.3">
      <c r="A69" s="638">
        <v>27310399</v>
      </c>
      <c r="B69" s="638" t="s">
        <v>382</v>
      </c>
      <c r="C69" s="638">
        <v>42</v>
      </c>
      <c r="D69" s="311"/>
      <c r="E69" s="305">
        <f>SUMIF(Adjustments!A:A,A69,Adjustments!C:C)</f>
        <v>0</v>
      </c>
      <c r="F69" s="278">
        <f t="shared" si="0"/>
        <v>42</v>
      </c>
      <c r="G69" s="263" t="str">
        <f>VLOOKUP('Trial Balance'!$A69,'Code Allocation'!$A:$D,3,0)</f>
        <v>CRA</v>
      </c>
      <c r="H69" s="266" t="str">
        <f>VLOOKUP('Trial Balance'!$A69,'Code Allocation'!$A:$D,4,0)</f>
        <v>Buildings &amp; Cultural Activities</v>
      </c>
      <c r="I69" s="267" t="str">
        <f>VLOOKUP('Trial Balance'!$A69,'Code Allocation'!$A:$E,5,0)</f>
        <v>Transport related expenses</v>
      </c>
      <c r="J69" s="268" t="str">
        <f>VLOOKUP('Trial Balance'!$A69,'Code Allocation'!$A:$F,6,0)</f>
        <v>Pick-up</v>
      </c>
      <c r="K69" s="263"/>
      <c r="L69" s="263"/>
      <c r="M69" s="263"/>
      <c r="N69" s="263"/>
      <c r="O69" s="263"/>
      <c r="P69" s="263"/>
      <c r="Q69" s="263"/>
      <c r="R69" s="263"/>
      <c r="S69" s="263"/>
      <c r="T69" s="263"/>
      <c r="U69" s="263"/>
      <c r="V69" s="263"/>
      <c r="W69" s="263"/>
      <c r="X69" s="263"/>
      <c r="Y69" s="263"/>
      <c r="Z69" s="263"/>
      <c r="AA69" s="263"/>
      <c r="AB69" s="263"/>
      <c r="AC69" s="263"/>
      <c r="AD69" s="263"/>
      <c r="AE69" s="263"/>
      <c r="AF69" s="263"/>
      <c r="AG69" s="263"/>
      <c r="AH69" s="263"/>
      <c r="AI69" s="263"/>
      <c r="AJ69" s="263"/>
      <c r="AK69" s="263"/>
      <c r="AL69" s="263"/>
      <c r="AM69" s="263"/>
      <c r="AN69" s="263"/>
      <c r="AO69" s="263"/>
      <c r="AP69" s="263"/>
      <c r="AQ69" s="263"/>
      <c r="AR69" s="263"/>
      <c r="AS69" s="263"/>
      <c r="AT69" s="263"/>
      <c r="AU69" s="263"/>
      <c r="AV69" s="263"/>
      <c r="AW69" s="263"/>
      <c r="AX69" s="263"/>
      <c r="AY69" s="263"/>
      <c r="AZ69" s="263"/>
      <c r="BA69" s="263"/>
      <c r="BB69" s="263"/>
      <c r="BC69" s="263"/>
      <c r="BD69" s="263"/>
      <c r="BE69" s="263"/>
      <c r="BF69" s="263"/>
      <c r="BG69" s="263"/>
      <c r="BH69" s="263"/>
      <c r="BI69" s="263"/>
      <c r="BJ69" s="263"/>
      <c r="BK69" s="263"/>
      <c r="BL69" s="263"/>
      <c r="BM69" s="263"/>
      <c r="BN69" s="263"/>
      <c r="BO69" s="263"/>
      <c r="BP69" s="263"/>
      <c r="BQ69" s="263"/>
      <c r="BR69" s="263"/>
      <c r="BS69" s="263"/>
      <c r="BT69" s="263"/>
      <c r="BU69" s="263"/>
      <c r="BV69" s="263"/>
      <c r="BW69" s="263"/>
      <c r="BX69" s="263"/>
      <c r="BY69" s="263"/>
      <c r="BZ69" s="263"/>
      <c r="CA69" s="263"/>
      <c r="CB69" s="263"/>
      <c r="CC69" s="263"/>
      <c r="CD69" s="263"/>
      <c r="CE69" s="263"/>
      <c r="CF69" s="263"/>
      <c r="CG69" s="263"/>
      <c r="CH69" s="263"/>
      <c r="CI69" s="263"/>
      <c r="CJ69" s="263"/>
      <c r="CK69" s="263"/>
      <c r="CL69" s="263"/>
      <c r="CM69" s="263"/>
      <c r="CN69" s="263"/>
      <c r="CO69" s="263"/>
      <c r="CP69" s="263"/>
      <c r="CQ69" s="263"/>
      <c r="CR69" s="263"/>
      <c r="CS69" s="263"/>
      <c r="CT69" s="263"/>
      <c r="CU69" s="263"/>
      <c r="CV69" s="263"/>
      <c r="CW69" s="263"/>
      <c r="CX69" s="263"/>
      <c r="CY69" s="263"/>
      <c r="CZ69" s="263"/>
      <c r="DA69" s="263"/>
      <c r="DB69" s="263"/>
      <c r="DC69" s="263"/>
      <c r="DD69" s="263"/>
      <c r="DE69" s="263"/>
      <c r="DF69" s="263"/>
      <c r="DG69" s="263"/>
      <c r="DH69" s="263"/>
      <c r="DI69" s="263"/>
      <c r="DJ69" s="263"/>
      <c r="DK69" s="263"/>
      <c r="DL69" s="263"/>
      <c r="DM69" s="263"/>
      <c r="DN69" s="263"/>
      <c r="DO69" s="263"/>
      <c r="DP69" s="263"/>
      <c r="DQ69" s="263"/>
      <c r="DR69" s="263"/>
      <c r="DS69" s="263"/>
      <c r="DT69" s="263"/>
      <c r="DU69" s="263"/>
      <c r="DV69" s="263"/>
      <c r="DW69" s="263"/>
      <c r="DX69" s="263"/>
      <c r="DY69" s="263"/>
      <c r="DZ69" s="263"/>
      <c r="EA69" s="263"/>
      <c r="EB69" s="263"/>
      <c r="EC69" s="263"/>
      <c r="ED69" s="263"/>
      <c r="EE69" s="263"/>
      <c r="EF69" s="263"/>
      <c r="EG69" s="263"/>
      <c r="EH69" s="263"/>
      <c r="EI69" s="263"/>
      <c r="EJ69" s="263"/>
      <c r="EK69" s="263"/>
      <c r="EL69" s="263"/>
      <c r="EM69" s="263"/>
      <c r="EN69" s="263"/>
      <c r="EO69" s="263"/>
      <c r="EP69" s="263"/>
      <c r="EQ69" s="263"/>
      <c r="ER69" s="263"/>
      <c r="ES69" s="263"/>
      <c r="ET69" s="263"/>
      <c r="EU69" s="263"/>
      <c r="EV69" s="263"/>
      <c r="EW69" s="263"/>
      <c r="EX69" s="263"/>
      <c r="EY69" s="263"/>
      <c r="EZ69" s="263"/>
      <c r="FA69" s="263"/>
      <c r="FB69" s="263"/>
      <c r="FC69" s="263"/>
      <c r="FD69" s="263"/>
      <c r="FE69" s="263"/>
      <c r="FF69" s="263"/>
      <c r="FG69" s="263"/>
      <c r="FH69" s="263"/>
      <c r="FI69" s="263"/>
      <c r="FJ69" s="263"/>
      <c r="FK69" s="263"/>
      <c r="FL69" s="263"/>
      <c r="FM69" s="263"/>
      <c r="FN69" s="263"/>
      <c r="FO69" s="263"/>
      <c r="FP69" s="263"/>
      <c r="FQ69" s="263"/>
      <c r="FR69" s="263"/>
      <c r="FS69" s="263"/>
      <c r="FT69" s="263"/>
      <c r="FU69" s="263"/>
      <c r="FV69" s="263"/>
      <c r="FW69" s="263"/>
      <c r="FX69" s="263"/>
      <c r="FY69" s="263"/>
      <c r="FZ69" s="263"/>
      <c r="GA69" s="263"/>
      <c r="GB69" s="263"/>
      <c r="GC69" s="263"/>
      <c r="GD69" s="263"/>
      <c r="GE69" s="263"/>
      <c r="GF69" s="263"/>
      <c r="GG69" s="263"/>
      <c r="GH69" s="263"/>
      <c r="GI69" s="263"/>
      <c r="GJ69" s="263"/>
      <c r="GK69" s="263"/>
      <c r="GL69" s="263"/>
      <c r="GM69" s="263"/>
      <c r="GN69" s="263"/>
      <c r="GO69" s="263"/>
      <c r="GP69" s="263"/>
      <c r="GQ69" s="263"/>
      <c r="GR69" s="263"/>
      <c r="GS69" s="263"/>
      <c r="GT69" s="263"/>
      <c r="GU69" s="263"/>
      <c r="GV69" s="263"/>
      <c r="GW69" s="263"/>
      <c r="GX69" s="263"/>
      <c r="GY69" s="263"/>
      <c r="GZ69" s="263"/>
      <c r="HA69" s="263"/>
      <c r="HB69" s="263"/>
      <c r="HC69" s="263"/>
      <c r="HD69" s="263"/>
      <c r="HE69" s="263"/>
      <c r="HF69" s="263"/>
      <c r="HG69" s="263"/>
      <c r="HH69" s="263"/>
      <c r="HI69" s="263"/>
      <c r="HJ69" s="263"/>
      <c r="HK69" s="263"/>
      <c r="HL69" s="263"/>
      <c r="HM69" s="263"/>
      <c r="HN69" s="263"/>
      <c r="HO69" s="263"/>
      <c r="HP69" s="263"/>
      <c r="HQ69" s="263"/>
      <c r="HR69" s="263"/>
      <c r="HS69" s="263"/>
      <c r="HT69" s="263"/>
      <c r="HU69" s="263"/>
      <c r="HV69" s="263"/>
      <c r="HW69" s="263"/>
      <c r="HX69" s="263"/>
      <c r="HY69" s="263"/>
      <c r="HZ69" s="263"/>
      <c r="IA69" s="263"/>
      <c r="IB69" s="263"/>
      <c r="IC69" s="263"/>
      <c r="ID69" s="263"/>
      <c r="IE69" s="263"/>
      <c r="IF69" s="263"/>
      <c r="IG69" s="263"/>
      <c r="IH69" s="263"/>
      <c r="II69" s="263"/>
      <c r="IJ69" s="263"/>
      <c r="IK69" s="263"/>
      <c r="IL69" s="263"/>
      <c r="IM69" s="263"/>
      <c r="IN69" s="263"/>
      <c r="IO69" s="263"/>
      <c r="IP69" s="263"/>
      <c r="IQ69" s="263"/>
      <c r="IR69" s="263"/>
      <c r="IS69" s="263"/>
      <c r="IT69" s="263"/>
      <c r="IU69" s="263"/>
      <c r="IV69" s="263"/>
    </row>
    <row r="70" spans="1:256" ht="15" hidden="1" customHeight="1" x14ac:dyDescent="0.3">
      <c r="A70" s="638">
        <v>27320199</v>
      </c>
      <c r="B70" s="638" t="s">
        <v>427</v>
      </c>
      <c r="C70" s="638">
        <v>36.94</v>
      </c>
      <c r="D70" s="311"/>
      <c r="E70" s="305">
        <f>SUMIF(Adjustments!A:A,A70,Adjustments!C:C)</f>
        <v>0</v>
      </c>
      <c r="F70" s="278">
        <f t="shared" si="0"/>
        <v>36.94</v>
      </c>
      <c r="G70" s="263" t="str">
        <f>VLOOKUP('Trial Balance'!$A70,'Code Allocation'!$A:$D,3,0)</f>
        <v>CRA</v>
      </c>
      <c r="H70" s="266" t="str">
        <f>VLOOKUP('Trial Balance'!$A70,'Code Allocation'!$A:$D,4,0)</f>
        <v>Buildings &amp; Cultural Activities</v>
      </c>
      <c r="I70" s="267" t="str">
        <f>VLOOKUP('Trial Balance'!$A70,'Code Allocation'!$A:$E,5,0)</f>
        <v>Transport related expenses</v>
      </c>
      <c r="J70" s="268" t="str">
        <f>VLOOKUP('Trial Balance'!$A70,'Code Allocation'!$A:$F,6,0)</f>
        <v>Tractor</v>
      </c>
    </row>
    <row r="71" spans="1:256" ht="15" hidden="1" customHeight="1" x14ac:dyDescent="0.3">
      <c r="A71" s="638">
        <v>27320299</v>
      </c>
      <c r="B71" s="638" t="s">
        <v>428</v>
      </c>
      <c r="C71" s="638">
        <v>23.73</v>
      </c>
      <c r="D71" s="311"/>
      <c r="E71" s="305">
        <f>SUMIF(Adjustments!A:A,A71,Adjustments!C:C)</f>
        <v>0</v>
      </c>
      <c r="F71" s="278">
        <f t="shared" si="0"/>
        <v>23.73</v>
      </c>
      <c r="G71" s="263" t="str">
        <f>VLOOKUP('Trial Balance'!$A71,'Code Allocation'!$A:$D,3,0)</f>
        <v>CRA</v>
      </c>
      <c r="H71" s="266" t="str">
        <f>VLOOKUP('Trial Balance'!$A71,'Code Allocation'!$A:$D,4,0)</f>
        <v>Buildings &amp; Cultural Activities</v>
      </c>
      <c r="I71" s="267" t="str">
        <f>VLOOKUP('Trial Balance'!$A71,'Code Allocation'!$A:$E,5,0)</f>
        <v>Transport related expenses</v>
      </c>
      <c r="J71" s="268" t="str">
        <f>VLOOKUP('Trial Balance'!$A71,'Code Allocation'!$A:$F,6,0)</f>
        <v>Tractor</v>
      </c>
    </row>
    <row r="72" spans="1:256" ht="15" hidden="1" customHeight="1" x14ac:dyDescent="0.3">
      <c r="A72" s="638">
        <v>27320399</v>
      </c>
      <c r="B72" s="638" t="s">
        <v>429</v>
      </c>
      <c r="C72" s="638">
        <v>19.87</v>
      </c>
      <c r="D72" s="311"/>
      <c r="E72" s="305">
        <f>SUMIF(Adjustments!A:A,A72,Adjustments!C:C)</f>
        <v>0</v>
      </c>
      <c r="F72" s="278">
        <f t="shared" si="0"/>
        <v>19.87</v>
      </c>
      <c r="G72" s="263" t="str">
        <f>VLOOKUP('Trial Balance'!$A72,'Code Allocation'!$A:$D,3,0)</f>
        <v>CRA</v>
      </c>
      <c r="H72" s="266" t="str">
        <f>VLOOKUP('Trial Balance'!$A72,'Code Allocation'!$A:$D,4,0)</f>
        <v>Buildings &amp; Cultural Activities</v>
      </c>
      <c r="I72" s="267" t="str">
        <f>VLOOKUP('Trial Balance'!$A72,'Code Allocation'!$A:$E,5,0)</f>
        <v>Transport related expenses</v>
      </c>
      <c r="J72" s="268" t="str">
        <f>VLOOKUP('Trial Balance'!$A72,'Code Allocation'!$A:$F,6,0)</f>
        <v>Tractor</v>
      </c>
    </row>
    <row r="73" spans="1:256" ht="15" hidden="1" customHeight="1" x14ac:dyDescent="0.3">
      <c r="A73" s="638">
        <v>27360199</v>
      </c>
      <c r="B73" s="638" t="s">
        <v>430</v>
      </c>
      <c r="C73" s="638">
        <v>61.28</v>
      </c>
      <c r="D73" s="311"/>
      <c r="E73" s="305">
        <f>SUMIF(Adjustments!A:A,A73,Adjustments!C:C)</f>
        <v>0</v>
      </c>
      <c r="F73" s="278">
        <f t="shared" si="0"/>
        <v>61.28</v>
      </c>
      <c r="G73" s="263" t="str">
        <f>VLOOKUP('Trial Balance'!$A73,'Code Allocation'!$A:$D,3,0)</f>
        <v>CRA</v>
      </c>
      <c r="H73" s="266" t="str">
        <f>VLOOKUP('Trial Balance'!$A73,'Code Allocation'!$A:$D,4,0)</f>
        <v>Buildings &amp; Cultural Activities</v>
      </c>
      <c r="I73" s="267" t="str">
        <f>VLOOKUP('Trial Balance'!$A73,'Code Allocation'!$A:$E,5,0)</f>
        <v>Transport related expenses</v>
      </c>
      <c r="J73" s="268" t="str">
        <f>VLOOKUP('Trial Balance'!$A73,'Code Allocation'!$A:$F,6,0)</f>
        <v>Pick-up</v>
      </c>
    </row>
    <row r="74" spans="1:256" ht="15" hidden="1" customHeight="1" x14ac:dyDescent="0.3">
      <c r="A74" s="638">
        <v>27360399</v>
      </c>
      <c r="B74" s="638" t="s">
        <v>387</v>
      </c>
      <c r="C74" s="638">
        <v>40</v>
      </c>
      <c r="D74" s="311"/>
      <c r="E74" s="305">
        <f>SUMIF(Adjustments!A:A,A74,Adjustments!C:C)</f>
        <v>0</v>
      </c>
      <c r="F74" s="278">
        <f t="shared" si="0"/>
        <v>40</v>
      </c>
      <c r="G74" s="263" t="str">
        <f>VLOOKUP('Trial Balance'!$A74,'Code Allocation'!$A:$D,3,0)</f>
        <v>CRA</v>
      </c>
      <c r="H74" s="266" t="str">
        <f>VLOOKUP('Trial Balance'!$A74,'Code Allocation'!$A:$D,4,0)</f>
        <v>Buildings &amp; Cultural Activities</v>
      </c>
      <c r="I74" s="267" t="str">
        <f>VLOOKUP('Trial Balance'!$A74,'Code Allocation'!$A:$E,5,0)</f>
        <v>Transport related expenses</v>
      </c>
      <c r="J74" s="268" t="str">
        <f>VLOOKUP('Trial Balance'!$A74,'Code Allocation'!$A:$F,6,0)</f>
        <v>Pick-up</v>
      </c>
    </row>
    <row r="75" spans="1:256" s="268" customFormat="1" ht="15" hidden="1" customHeight="1" x14ac:dyDescent="0.3">
      <c r="A75" s="638">
        <v>27370199</v>
      </c>
      <c r="B75" s="638" t="s">
        <v>388</v>
      </c>
      <c r="C75" s="638">
        <v>61.28</v>
      </c>
      <c r="D75" s="311"/>
      <c r="E75" s="305">
        <f>SUMIF(Adjustments!A:A,A75,Adjustments!C:C)</f>
        <v>0</v>
      </c>
      <c r="F75" s="278">
        <f t="shared" si="0"/>
        <v>61.28</v>
      </c>
      <c r="G75" s="263" t="str">
        <f>VLOOKUP('Trial Balance'!$A75,'Code Allocation'!$A:$D,3,0)</f>
        <v>CRA</v>
      </c>
      <c r="H75" s="266" t="str">
        <f>VLOOKUP('Trial Balance'!$A75,'Code Allocation'!$A:$D,4,0)</f>
        <v>Buildings &amp; Cultural Activities</v>
      </c>
      <c r="I75" s="267" t="str">
        <f>VLOOKUP('Trial Balance'!$A75,'Code Allocation'!$A:$E,5,0)</f>
        <v>Transport related expenses</v>
      </c>
      <c r="J75" s="268" t="str">
        <f>VLOOKUP('Trial Balance'!$A75,'Code Allocation'!$A:$F,6,0)</f>
        <v>Pick-up</v>
      </c>
      <c r="K75" s="263"/>
      <c r="L75" s="263"/>
      <c r="M75" s="263"/>
      <c r="N75" s="263"/>
      <c r="O75" s="263"/>
      <c r="P75" s="263"/>
      <c r="Q75" s="263"/>
      <c r="R75" s="263"/>
      <c r="S75" s="263"/>
      <c r="T75" s="263"/>
      <c r="U75" s="263"/>
      <c r="V75" s="263"/>
      <c r="W75" s="263"/>
      <c r="X75" s="263"/>
      <c r="Y75" s="263"/>
      <c r="Z75" s="263"/>
      <c r="AA75" s="263"/>
      <c r="AB75" s="263"/>
      <c r="AC75" s="263"/>
      <c r="AD75" s="263"/>
      <c r="AE75" s="263"/>
      <c r="AF75" s="263"/>
      <c r="AG75" s="263"/>
      <c r="AH75" s="263"/>
      <c r="AI75" s="263"/>
      <c r="AJ75" s="263"/>
      <c r="AK75" s="263"/>
      <c r="AL75" s="263"/>
      <c r="AM75" s="263"/>
      <c r="AN75" s="263"/>
      <c r="AO75" s="263"/>
      <c r="AP75" s="263"/>
      <c r="AQ75" s="263"/>
      <c r="AR75" s="263"/>
      <c r="AS75" s="263"/>
      <c r="AT75" s="263"/>
      <c r="AU75" s="263"/>
      <c r="AV75" s="263"/>
      <c r="AW75" s="263"/>
      <c r="AX75" s="263"/>
      <c r="AY75" s="263"/>
      <c r="AZ75" s="263"/>
      <c r="BA75" s="263"/>
      <c r="BB75" s="263"/>
      <c r="BC75" s="263"/>
      <c r="BD75" s="263"/>
      <c r="BE75" s="263"/>
      <c r="BF75" s="263"/>
      <c r="BG75" s="263"/>
      <c r="BH75" s="263"/>
      <c r="BI75" s="263"/>
      <c r="BJ75" s="263"/>
      <c r="BK75" s="263"/>
      <c r="BL75" s="263"/>
      <c r="BM75" s="263"/>
      <c r="BN75" s="263"/>
      <c r="BO75" s="263"/>
      <c r="BP75" s="263"/>
      <c r="BQ75" s="263"/>
      <c r="BR75" s="263"/>
      <c r="BS75" s="263"/>
      <c r="BT75" s="263"/>
      <c r="BU75" s="263"/>
      <c r="BV75" s="263"/>
      <c r="BW75" s="263"/>
      <c r="BX75" s="263"/>
      <c r="BY75" s="263"/>
      <c r="BZ75" s="263"/>
      <c r="CA75" s="263"/>
      <c r="CB75" s="263"/>
      <c r="CC75" s="263"/>
      <c r="CD75" s="263"/>
      <c r="CE75" s="263"/>
      <c r="CF75" s="263"/>
      <c r="CG75" s="263"/>
      <c r="CH75" s="263"/>
      <c r="CI75" s="263"/>
      <c r="CJ75" s="263"/>
      <c r="CK75" s="263"/>
      <c r="CL75" s="263"/>
      <c r="CM75" s="263"/>
      <c r="CN75" s="263"/>
      <c r="CO75" s="263"/>
      <c r="CP75" s="263"/>
      <c r="CQ75" s="263"/>
      <c r="CR75" s="263"/>
      <c r="CS75" s="263"/>
      <c r="CT75" s="263"/>
      <c r="CU75" s="263"/>
      <c r="CV75" s="263"/>
      <c r="CW75" s="263"/>
      <c r="CX75" s="263"/>
      <c r="CY75" s="263"/>
      <c r="CZ75" s="263"/>
      <c r="DA75" s="263"/>
      <c r="DB75" s="263"/>
      <c r="DC75" s="263"/>
      <c r="DD75" s="263"/>
      <c r="DE75" s="263"/>
      <c r="DF75" s="263"/>
      <c r="DG75" s="263"/>
      <c r="DH75" s="263"/>
      <c r="DI75" s="263"/>
      <c r="DJ75" s="263"/>
      <c r="DK75" s="263"/>
      <c r="DL75" s="263"/>
      <c r="DM75" s="263"/>
      <c r="DN75" s="263"/>
      <c r="DO75" s="263"/>
      <c r="DP75" s="263"/>
      <c r="DQ75" s="263"/>
      <c r="DR75" s="263"/>
      <c r="DS75" s="263"/>
      <c r="DT75" s="263"/>
      <c r="DU75" s="263"/>
      <c r="DV75" s="263"/>
      <c r="DW75" s="263"/>
      <c r="DX75" s="263"/>
      <c r="DY75" s="263"/>
      <c r="DZ75" s="263"/>
      <c r="EA75" s="263"/>
      <c r="EB75" s="263"/>
      <c r="EC75" s="263"/>
      <c r="ED75" s="263"/>
      <c r="EE75" s="263"/>
      <c r="EF75" s="263"/>
      <c r="EG75" s="263"/>
      <c r="EH75" s="263"/>
      <c r="EI75" s="263"/>
      <c r="EJ75" s="263"/>
      <c r="EK75" s="263"/>
      <c r="EL75" s="263"/>
      <c r="EM75" s="263"/>
      <c r="EN75" s="263"/>
      <c r="EO75" s="263"/>
      <c r="EP75" s="263"/>
      <c r="EQ75" s="263"/>
      <c r="ER75" s="263"/>
      <c r="ES75" s="263"/>
      <c r="ET75" s="263"/>
      <c r="EU75" s="263"/>
      <c r="EV75" s="263"/>
      <c r="EW75" s="263"/>
      <c r="EX75" s="263"/>
      <c r="EY75" s="263"/>
      <c r="EZ75" s="263"/>
      <c r="FA75" s="263"/>
      <c r="FB75" s="263"/>
      <c r="FC75" s="263"/>
      <c r="FD75" s="263"/>
      <c r="FE75" s="263"/>
      <c r="FF75" s="263"/>
      <c r="FG75" s="263"/>
      <c r="FH75" s="263"/>
      <c r="FI75" s="263"/>
      <c r="FJ75" s="263"/>
      <c r="FK75" s="263"/>
      <c r="FL75" s="263"/>
      <c r="FM75" s="263"/>
      <c r="FN75" s="263"/>
      <c r="FO75" s="263"/>
      <c r="FP75" s="263"/>
      <c r="FQ75" s="263"/>
      <c r="FR75" s="263"/>
      <c r="FS75" s="263"/>
      <c r="FT75" s="263"/>
      <c r="FU75" s="263"/>
      <c r="FV75" s="263"/>
      <c r="FW75" s="263"/>
      <c r="FX75" s="263"/>
      <c r="FY75" s="263"/>
      <c r="FZ75" s="263"/>
      <c r="GA75" s="263"/>
      <c r="GB75" s="263"/>
      <c r="GC75" s="263"/>
      <c r="GD75" s="263"/>
      <c r="GE75" s="263"/>
      <c r="GF75" s="263"/>
      <c r="GG75" s="263"/>
      <c r="GH75" s="263"/>
      <c r="GI75" s="263"/>
      <c r="GJ75" s="263"/>
      <c r="GK75" s="263"/>
      <c r="GL75" s="263"/>
      <c r="GM75" s="263"/>
      <c r="GN75" s="263"/>
      <c r="GO75" s="263"/>
      <c r="GP75" s="263"/>
      <c r="GQ75" s="263"/>
      <c r="GR75" s="263"/>
      <c r="GS75" s="263"/>
      <c r="GT75" s="263"/>
      <c r="GU75" s="263"/>
      <c r="GV75" s="263"/>
      <c r="GW75" s="263"/>
      <c r="GX75" s="263"/>
      <c r="GY75" s="263"/>
      <c r="GZ75" s="263"/>
      <c r="HA75" s="263"/>
      <c r="HB75" s="263"/>
      <c r="HC75" s="263"/>
      <c r="HD75" s="263"/>
      <c r="HE75" s="263"/>
      <c r="HF75" s="263"/>
      <c r="HG75" s="263"/>
      <c r="HH75" s="263"/>
      <c r="HI75" s="263"/>
      <c r="HJ75" s="263"/>
      <c r="HK75" s="263"/>
      <c r="HL75" s="263"/>
      <c r="HM75" s="263"/>
      <c r="HN75" s="263"/>
      <c r="HO75" s="263"/>
      <c r="HP75" s="263"/>
      <c r="HQ75" s="263"/>
      <c r="HR75" s="263"/>
      <c r="HS75" s="263"/>
      <c r="HT75" s="263"/>
      <c r="HU75" s="263"/>
      <c r="HV75" s="263"/>
      <c r="HW75" s="263"/>
      <c r="HX75" s="263"/>
      <c r="HY75" s="263"/>
      <c r="HZ75" s="263"/>
      <c r="IA75" s="263"/>
      <c r="IB75" s="263"/>
      <c r="IC75" s="263"/>
      <c r="ID75" s="263"/>
      <c r="IE75" s="263"/>
      <c r="IF75" s="263"/>
      <c r="IG75" s="263"/>
      <c r="IH75" s="263"/>
      <c r="II75" s="263"/>
      <c r="IJ75" s="263"/>
      <c r="IK75" s="263"/>
      <c r="IL75" s="263"/>
      <c r="IM75" s="263"/>
      <c r="IN75" s="263"/>
      <c r="IO75" s="263"/>
      <c r="IP75" s="263"/>
      <c r="IQ75" s="263"/>
      <c r="IR75" s="263"/>
      <c r="IS75" s="263"/>
      <c r="IT75" s="263"/>
      <c r="IU75" s="263"/>
      <c r="IV75" s="263"/>
    </row>
    <row r="76" spans="1:256" ht="15" hidden="1" customHeight="1" x14ac:dyDescent="0.3">
      <c r="A76" s="638">
        <v>27370299</v>
      </c>
      <c r="B76" s="638" t="s">
        <v>389</v>
      </c>
      <c r="C76" s="638">
        <v>21.64</v>
      </c>
      <c r="D76" s="311"/>
      <c r="E76" s="305">
        <f>SUMIF(Adjustments!A:A,A76,Adjustments!C:C)</f>
        <v>0</v>
      </c>
      <c r="F76" s="278">
        <f t="shared" si="0"/>
        <v>21.64</v>
      </c>
      <c r="G76" s="263" t="str">
        <f>VLOOKUP('Trial Balance'!$A76,'Code Allocation'!$A:$D,3,0)</f>
        <v>CRA</v>
      </c>
      <c r="H76" s="266" t="str">
        <f>VLOOKUP('Trial Balance'!$A76,'Code Allocation'!$A:$D,4,0)</f>
        <v>Buildings &amp; Cultural Activities</v>
      </c>
      <c r="I76" s="267" t="str">
        <f>VLOOKUP('Trial Balance'!$A76,'Code Allocation'!$A:$E,5,0)</f>
        <v>Transport related expenses</v>
      </c>
      <c r="J76" s="268" t="str">
        <f>VLOOKUP('Trial Balance'!$A76,'Code Allocation'!$A:$F,6,0)</f>
        <v>Pick-up</v>
      </c>
    </row>
    <row r="77" spans="1:256" s="279" customFormat="1" ht="15" hidden="1" customHeight="1" x14ac:dyDescent="0.3">
      <c r="A77" s="638">
        <v>27370399</v>
      </c>
      <c r="B77" s="638" t="s">
        <v>390</v>
      </c>
      <c r="C77" s="638">
        <v>43</v>
      </c>
      <c r="D77" s="311"/>
      <c r="E77" s="305">
        <f>SUMIF(Adjustments!A:A,A77,Adjustments!C:C)</f>
        <v>0</v>
      </c>
      <c r="F77" s="278">
        <f t="shared" si="0"/>
        <v>43</v>
      </c>
      <c r="G77" s="263" t="str">
        <f>VLOOKUP('Trial Balance'!$A77,'Code Allocation'!$A:$D,3,0)</f>
        <v>CRA</v>
      </c>
      <c r="H77" s="266" t="str">
        <f>VLOOKUP('Trial Balance'!$A77,'Code Allocation'!$A:$D,4,0)</f>
        <v>Buildings &amp; Cultural Activities</v>
      </c>
      <c r="I77" s="267" t="str">
        <f>VLOOKUP('Trial Balance'!$A77,'Code Allocation'!$A:$E,5,0)</f>
        <v>Transport related expenses</v>
      </c>
      <c r="J77" s="268" t="str">
        <f>VLOOKUP('Trial Balance'!$A77,'Code Allocation'!$A:$F,6,0)</f>
        <v>Pick-up</v>
      </c>
      <c r="K77" s="263"/>
      <c r="L77" s="263"/>
      <c r="M77" s="263"/>
      <c r="N77" s="263"/>
      <c r="O77" s="263"/>
      <c r="P77" s="263"/>
      <c r="Q77" s="263"/>
      <c r="R77" s="263"/>
      <c r="S77" s="263"/>
      <c r="T77" s="263"/>
      <c r="U77" s="263"/>
      <c r="V77" s="263"/>
      <c r="W77" s="263"/>
      <c r="X77" s="263"/>
      <c r="Y77" s="263"/>
      <c r="Z77" s="263"/>
      <c r="AA77" s="263"/>
      <c r="AB77" s="263"/>
      <c r="AC77" s="263"/>
      <c r="AD77" s="263"/>
      <c r="AE77" s="263"/>
      <c r="AF77" s="263"/>
      <c r="AG77" s="263"/>
      <c r="AH77" s="263"/>
      <c r="AI77" s="263"/>
      <c r="AJ77" s="263"/>
      <c r="AK77" s="263"/>
      <c r="AL77" s="263"/>
      <c r="AM77" s="263"/>
      <c r="AN77" s="263"/>
      <c r="AO77" s="263"/>
      <c r="AP77" s="263"/>
      <c r="AQ77" s="263"/>
      <c r="AR77" s="263"/>
      <c r="AS77" s="263"/>
      <c r="AT77" s="263"/>
      <c r="AU77" s="263"/>
      <c r="AV77" s="263"/>
      <c r="AW77" s="263"/>
      <c r="AX77" s="263"/>
      <c r="AY77" s="263"/>
      <c r="AZ77" s="263"/>
      <c r="BA77" s="263"/>
      <c r="BB77" s="263"/>
      <c r="BC77" s="263"/>
      <c r="BD77" s="263"/>
      <c r="BE77" s="263"/>
      <c r="BF77" s="263"/>
      <c r="BG77" s="263"/>
      <c r="BH77" s="263"/>
      <c r="BI77" s="263"/>
      <c r="BJ77" s="263"/>
      <c r="BK77" s="263"/>
      <c r="BL77" s="263"/>
      <c r="BM77" s="263"/>
      <c r="BN77" s="263"/>
      <c r="BO77" s="263"/>
      <c r="BP77" s="263"/>
      <c r="BQ77" s="263"/>
      <c r="BR77" s="263"/>
      <c r="BS77" s="263"/>
      <c r="BT77" s="263"/>
      <c r="BU77" s="263"/>
      <c r="BV77" s="263"/>
      <c r="BW77" s="263"/>
      <c r="BX77" s="263"/>
      <c r="BY77" s="263"/>
      <c r="BZ77" s="263"/>
      <c r="CA77" s="263"/>
      <c r="CB77" s="263"/>
      <c r="CC77" s="263"/>
      <c r="CD77" s="263"/>
      <c r="CE77" s="263"/>
      <c r="CF77" s="263"/>
      <c r="CG77" s="263"/>
      <c r="CH77" s="263"/>
      <c r="CI77" s="263"/>
      <c r="CJ77" s="263"/>
      <c r="CK77" s="263"/>
      <c r="CL77" s="263"/>
      <c r="CM77" s="263"/>
      <c r="CN77" s="263"/>
      <c r="CO77" s="263"/>
      <c r="CP77" s="263"/>
      <c r="CQ77" s="263"/>
      <c r="CR77" s="263"/>
      <c r="CS77" s="263"/>
      <c r="CT77" s="263"/>
      <c r="CU77" s="263"/>
      <c r="CV77" s="263"/>
      <c r="CW77" s="263"/>
      <c r="CX77" s="263"/>
      <c r="CY77" s="263"/>
      <c r="CZ77" s="263"/>
      <c r="DA77" s="263"/>
      <c r="DB77" s="263"/>
      <c r="DC77" s="263"/>
      <c r="DD77" s="263"/>
      <c r="DE77" s="263"/>
      <c r="DF77" s="263"/>
      <c r="DG77" s="263"/>
      <c r="DH77" s="263"/>
      <c r="DI77" s="263"/>
      <c r="DJ77" s="263"/>
      <c r="DK77" s="263"/>
      <c r="DL77" s="263"/>
      <c r="DM77" s="263"/>
      <c r="DN77" s="263"/>
      <c r="DO77" s="263"/>
      <c r="DP77" s="263"/>
      <c r="DQ77" s="263"/>
      <c r="DR77" s="263"/>
      <c r="DS77" s="263"/>
      <c r="DT77" s="263"/>
      <c r="DU77" s="263"/>
      <c r="DV77" s="263"/>
      <c r="DW77" s="263"/>
      <c r="DX77" s="263"/>
      <c r="DY77" s="263"/>
      <c r="DZ77" s="263"/>
      <c r="EA77" s="263"/>
      <c r="EB77" s="263"/>
      <c r="EC77" s="263"/>
      <c r="ED77" s="263"/>
      <c r="EE77" s="263"/>
      <c r="EF77" s="263"/>
      <c r="EG77" s="263"/>
      <c r="EH77" s="263"/>
      <c r="EI77" s="263"/>
      <c r="EJ77" s="263"/>
      <c r="EK77" s="263"/>
      <c r="EL77" s="263"/>
      <c r="EM77" s="263"/>
      <c r="EN77" s="263"/>
      <c r="EO77" s="263"/>
      <c r="EP77" s="263"/>
      <c r="EQ77" s="263"/>
      <c r="ER77" s="263"/>
      <c r="ES77" s="263"/>
      <c r="ET77" s="263"/>
      <c r="EU77" s="263"/>
      <c r="EV77" s="263"/>
      <c r="EW77" s="263"/>
      <c r="EX77" s="263"/>
      <c r="EY77" s="263"/>
      <c r="EZ77" s="263"/>
      <c r="FA77" s="263"/>
      <c r="FB77" s="263"/>
      <c r="FC77" s="263"/>
      <c r="FD77" s="263"/>
      <c r="FE77" s="263"/>
      <c r="FF77" s="263"/>
      <c r="FG77" s="263"/>
      <c r="FH77" s="263"/>
      <c r="FI77" s="263"/>
      <c r="FJ77" s="263"/>
      <c r="FK77" s="263"/>
      <c r="FL77" s="263"/>
      <c r="FM77" s="263"/>
      <c r="FN77" s="263"/>
      <c r="FO77" s="263"/>
      <c r="FP77" s="263"/>
      <c r="FQ77" s="263"/>
      <c r="FR77" s="263"/>
      <c r="FS77" s="263"/>
      <c r="FT77" s="263"/>
      <c r="FU77" s="263"/>
      <c r="FV77" s="263"/>
      <c r="FW77" s="263"/>
      <c r="FX77" s="263"/>
      <c r="FY77" s="263"/>
      <c r="FZ77" s="263"/>
      <c r="GA77" s="263"/>
      <c r="GB77" s="263"/>
      <c r="GC77" s="263"/>
      <c r="GD77" s="263"/>
      <c r="GE77" s="263"/>
      <c r="GF77" s="263"/>
      <c r="GG77" s="263"/>
      <c r="GH77" s="263"/>
      <c r="GI77" s="263"/>
      <c r="GJ77" s="263"/>
      <c r="GK77" s="263"/>
      <c r="GL77" s="263"/>
      <c r="GM77" s="263"/>
      <c r="GN77" s="263"/>
      <c r="GO77" s="263"/>
      <c r="GP77" s="263"/>
      <c r="GQ77" s="263"/>
      <c r="GR77" s="263"/>
      <c r="GS77" s="263"/>
      <c r="GT77" s="263"/>
      <c r="GU77" s="263"/>
      <c r="GV77" s="263"/>
      <c r="GW77" s="263"/>
      <c r="GX77" s="263"/>
      <c r="GY77" s="263"/>
      <c r="GZ77" s="263"/>
      <c r="HA77" s="263"/>
      <c r="HB77" s="263"/>
      <c r="HC77" s="263"/>
      <c r="HD77" s="263"/>
      <c r="HE77" s="263"/>
      <c r="HF77" s="263"/>
      <c r="HG77" s="263"/>
      <c r="HH77" s="263"/>
      <c r="HI77" s="263"/>
      <c r="HJ77" s="263"/>
      <c r="HK77" s="263"/>
      <c r="HL77" s="263"/>
      <c r="HM77" s="263"/>
      <c r="HN77" s="263"/>
      <c r="HO77" s="263"/>
      <c r="HP77" s="263"/>
      <c r="HQ77" s="263"/>
      <c r="HR77" s="263"/>
      <c r="HS77" s="263"/>
      <c r="HT77" s="263"/>
      <c r="HU77" s="263"/>
      <c r="HV77" s="263"/>
      <c r="HW77" s="263"/>
      <c r="HX77" s="263"/>
      <c r="HY77" s="263"/>
      <c r="HZ77" s="263"/>
      <c r="IA77" s="263"/>
      <c r="IB77" s="263"/>
      <c r="IC77" s="263"/>
      <c r="ID77" s="263"/>
      <c r="IE77" s="263"/>
      <c r="IF77" s="263"/>
      <c r="IG77" s="263"/>
      <c r="IH77" s="263"/>
      <c r="II77" s="263"/>
      <c r="IJ77" s="263"/>
      <c r="IK77" s="263"/>
      <c r="IL77" s="263"/>
      <c r="IM77" s="263"/>
      <c r="IN77" s="263"/>
      <c r="IO77" s="263"/>
      <c r="IP77" s="263"/>
      <c r="IQ77" s="263"/>
      <c r="IR77" s="263"/>
      <c r="IS77" s="263"/>
      <c r="IT77" s="263"/>
      <c r="IU77" s="263"/>
      <c r="IV77" s="263"/>
    </row>
    <row r="78" spans="1:256" s="281" customFormat="1" ht="15" hidden="1" customHeight="1" x14ac:dyDescent="0.3">
      <c r="A78" s="638">
        <v>27421402</v>
      </c>
      <c r="B78" s="638" t="s">
        <v>431</v>
      </c>
      <c r="C78" s="640">
        <v>1457.43</v>
      </c>
      <c r="D78" s="311"/>
      <c r="E78" s="305">
        <f>SUMIF(Adjustments!A:A,A78,Adjustments!C:C)</f>
        <v>0</v>
      </c>
      <c r="F78" s="278">
        <f t="shared" si="0"/>
        <v>1457.43</v>
      </c>
      <c r="G78" s="263" t="str">
        <f>VLOOKUP('Trial Balance'!$A78,'Code Allocation'!$A:$D,3,0)</f>
        <v>CRA</v>
      </c>
      <c r="H78" s="266" t="str">
        <f>VLOOKUP('Trial Balance'!$A78,'Code Allocation'!$A:$D,4,0)</f>
        <v>Buildings &amp; Cultural Activities</v>
      </c>
      <c r="I78" s="267" t="str">
        <f>VLOOKUP('Trial Balance'!$A78,'Code Allocation'!$A:$E,5,0)</f>
        <v>Premises Related Expenses</v>
      </c>
      <c r="J78" s="268" t="str">
        <f>VLOOKUP('Trial Balance'!$A78,'Code Allocation'!$A:$F,6,0)</f>
        <v>Repairs &amp; Maintenance - General</v>
      </c>
      <c r="K78" s="263"/>
      <c r="L78" s="263"/>
      <c r="M78" s="263"/>
      <c r="N78" s="263"/>
      <c r="O78" s="263"/>
      <c r="P78" s="263"/>
      <c r="Q78" s="263"/>
      <c r="R78" s="263"/>
      <c r="S78" s="263"/>
      <c r="T78" s="263"/>
      <c r="U78" s="263"/>
      <c r="V78" s="263"/>
      <c r="W78" s="263"/>
      <c r="X78" s="263"/>
      <c r="Y78" s="263"/>
      <c r="Z78" s="263"/>
      <c r="AA78" s="263"/>
      <c r="AB78" s="263"/>
      <c r="AC78" s="263"/>
      <c r="AD78" s="263"/>
      <c r="AE78" s="263"/>
      <c r="AF78" s="263"/>
      <c r="AG78" s="263"/>
      <c r="AH78" s="263"/>
      <c r="AI78" s="263"/>
      <c r="AJ78" s="263"/>
      <c r="AK78" s="263"/>
      <c r="AL78" s="263"/>
      <c r="AM78" s="263"/>
      <c r="AN78" s="263"/>
      <c r="AO78" s="263"/>
      <c r="AP78" s="263"/>
      <c r="AQ78" s="263"/>
      <c r="AR78" s="263"/>
      <c r="AS78" s="263"/>
      <c r="AT78" s="263"/>
      <c r="AU78" s="263"/>
      <c r="AV78" s="263"/>
      <c r="AW78" s="263"/>
      <c r="AX78" s="263"/>
      <c r="AY78" s="263"/>
      <c r="AZ78" s="263"/>
      <c r="BA78" s="263"/>
      <c r="BB78" s="263"/>
      <c r="BC78" s="263"/>
      <c r="BD78" s="263"/>
      <c r="BE78" s="263"/>
      <c r="BF78" s="263"/>
      <c r="BG78" s="263"/>
      <c r="BH78" s="263"/>
      <c r="BI78" s="263"/>
      <c r="BJ78" s="263"/>
      <c r="BK78" s="263"/>
      <c r="BL78" s="263"/>
      <c r="BM78" s="263"/>
      <c r="BN78" s="263"/>
      <c r="BO78" s="263"/>
      <c r="BP78" s="263"/>
      <c r="BQ78" s="263"/>
      <c r="BR78" s="263"/>
      <c r="BS78" s="263"/>
      <c r="BT78" s="263"/>
      <c r="BU78" s="263"/>
      <c r="BV78" s="263"/>
      <c r="BW78" s="263"/>
      <c r="BX78" s="263"/>
      <c r="BY78" s="263"/>
      <c r="BZ78" s="263"/>
      <c r="CA78" s="263"/>
      <c r="CB78" s="263"/>
      <c r="CC78" s="263"/>
      <c r="CD78" s="263"/>
      <c r="CE78" s="263"/>
      <c r="CF78" s="263"/>
      <c r="CG78" s="263"/>
      <c r="CH78" s="263"/>
      <c r="CI78" s="263"/>
      <c r="CJ78" s="263"/>
      <c r="CK78" s="263"/>
      <c r="CL78" s="263"/>
      <c r="CM78" s="263"/>
      <c r="CN78" s="263"/>
      <c r="CO78" s="263"/>
      <c r="CP78" s="263"/>
      <c r="CQ78" s="263"/>
      <c r="CR78" s="263"/>
      <c r="CS78" s="263"/>
      <c r="CT78" s="263"/>
      <c r="CU78" s="263"/>
      <c r="CV78" s="263"/>
      <c r="CW78" s="263"/>
      <c r="CX78" s="263"/>
      <c r="CY78" s="263"/>
      <c r="CZ78" s="263"/>
      <c r="DA78" s="263"/>
      <c r="DB78" s="263"/>
      <c r="DC78" s="263"/>
      <c r="DD78" s="263"/>
      <c r="DE78" s="263"/>
      <c r="DF78" s="263"/>
      <c r="DG78" s="263"/>
      <c r="DH78" s="263"/>
      <c r="DI78" s="263"/>
      <c r="DJ78" s="263"/>
      <c r="DK78" s="263"/>
      <c r="DL78" s="263"/>
      <c r="DM78" s="263"/>
      <c r="DN78" s="263"/>
      <c r="DO78" s="263"/>
      <c r="DP78" s="263"/>
      <c r="DQ78" s="263"/>
      <c r="DR78" s="263"/>
      <c r="DS78" s="263"/>
      <c r="DT78" s="263"/>
      <c r="DU78" s="263"/>
      <c r="DV78" s="263"/>
      <c r="DW78" s="263"/>
      <c r="DX78" s="263"/>
      <c r="DY78" s="263"/>
      <c r="DZ78" s="263"/>
      <c r="EA78" s="263"/>
      <c r="EB78" s="263"/>
      <c r="EC78" s="263"/>
      <c r="ED78" s="263"/>
      <c r="EE78" s="263"/>
      <c r="EF78" s="263"/>
      <c r="EG78" s="263"/>
      <c r="EH78" s="263"/>
      <c r="EI78" s="263"/>
      <c r="EJ78" s="263"/>
      <c r="EK78" s="263"/>
      <c r="EL78" s="263"/>
      <c r="EM78" s="263"/>
      <c r="EN78" s="263"/>
      <c r="EO78" s="263"/>
      <c r="EP78" s="263"/>
      <c r="EQ78" s="263"/>
      <c r="ER78" s="263"/>
      <c r="ES78" s="263"/>
      <c r="ET78" s="263"/>
      <c r="EU78" s="263"/>
      <c r="EV78" s="263"/>
      <c r="EW78" s="263"/>
      <c r="EX78" s="263"/>
      <c r="EY78" s="263"/>
      <c r="EZ78" s="263"/>
      <c r="FA78" s="263"/>
      <c r="FB78" s="263"/>
      <c r="FC78" s="263"/>
      <c r="FD78" s="263"/>
      <c r="FE78" s="263"/>
      <c r="FF78" s="263"/>
      <c r="FG78" s="263"/>
      <c r="FH78" s="263"/>
      <c r="FI78" s="263"/>
      <c r="FJ78" s="263"/>
      <c r="FK78" s="263"/>
      <c r="FL78" s="263"/>
      <c r="FM78" s="263"/>
      <c r="FN78" s="263"/>
      <c r="FO78" s="263"/>
      <c r="FP78" s="263"/>
      <c r="FQ78" s="263"/>
      <c r="FR78" s="263"/>
      <c r="FS78" s="263"/>
      <c r="FT78" s="263"/>
      <c r="FU78" s="263"/>
      <c r="FV78" s="263"/>
      <c r="FW78" s="263"/>
      <c r="FX78" s="263"/>
      <c r="FY78" s="263"/>
      <c r="FZ78" s="263"/>
      <c r="GA78" s="263"/>
      <c r="GB78" s="263"/>
      <c r="GC78" s="263"/>
      <c r="GD78" s="263"/>
      <c r="GE78" s="263"/>
      <c r="GF78" s="263"/>
      <c r="GG78" s="263"/>
      <c r="GH78" s="263"/>
      <c r="GI78" s="263"/>
      <c r="GJ78" s="263"/>
      <c r="GK78" s="263"/>
      <c r="GL78" s="263"/>
      <c r="GM78" s="263"/>
      <c r="GN78" s="263"/>
      <c r="GO78" s="263"/>
      <c r="GP78" s="263"/>
      <c r="GQ78" s="263"/>
      <c r="GR78" s="263"/>
      <c r="GS78" s="263"/>
      <c r="GT78" s="263"/>
      <c r="GU78" s="263"/>
      <c r="GV78" s="263"/>
      <c r="GW78" s="263"/>
      <c r="GX78" s="263"/>
      <c r="GY78" s="263"/>
      <c r="GZ78" s="263"/>
      <c r="HA78" s="263"/>
      <c r="HB78" s="263"/>
      <c r="HC78" s="263"/>
      <c r="HD78" s="263"/>
      <c r="HE78" s="263"/>
      <c r="HF78" s="263"/>
      <c r="HG78" s="263"/>
      <c r="HH78" s="263"/>
      <c r="HI78" s="263"/>
      <c r="HJ78" s="263"/>
      <c r="HK78" s="263"/>
      <c r="HL78" s="263"/>
      <c r="HM78" s="263"/>
      <c r="HN78" s="263"/>
      <c r="HO78" s="263"/>
      <c r="HP78" s="263"/>
      <c r="HQ78" s="263"/>
      <c r="HR78" s="263"/>
      <c r="HS78" s="263"/>
      <c r="HT78" s="263"/>
      <c r="HU78" s="263"/>
      <c r="HV78" s="263"/>
      <c r="HW78" s="263"/>
      <c r="HX78" s="263"/>
      <c r="HY78" s="263"/>
      <c r="HZ78" s="263"/>
      <c r="IA78" s="263"/>
      <c r="IB78" s="263"/>
      <c r="IC78" s="263"/>
      <c r="ID78" s="263"/>
      <c r="IE78" s="263"/>
      <c r="IF78" s="263"/>
      <c r="IG78" s="263"/>
      <c r="IH78" s="263"/>
      <c r="II78" s="263"/>
      <c r="IJ78" s="263"/>
      <c r="IK78" s="263"/>
      <c r="IL78" s="263"/>
      <c r="IM78" s="263"/>
      <c r="IN78" s="263"/>
      <c r="IO78" s="263"/>
      <c r="IP78" s="263"/>
      <c r="IQ78" s="263"/>
      <c r="IR78" s="263"/>
      <c r="IS78" s="263"/>
      <c r="IT78" s="263"/>
      <c r="IU78" s="263"/>
      <c r="IV78" s="263"/>
    </row>
    <row r="79" spans="1:256" s="281" customFormat="1" ht="15" hidden="1" customHeight="1" x14ac:dyDescent="0.3">
      <c r="A79" s="638">
        <v>27422099</v>
      </c>
      <c r="B79" s="638" t="s">
        <v>432</v>
      </c>
      <c r="C79" s="638">
        <v>855.02</v>
      </c>
      <c r="D79" s="311"/>
      <c r="E79" s="305">
        <f>SUMIF(Adjustments!A:A,A79,Adjustments!C:C)</f>
        <v>0</v>
      </c>
      <c r="F79" s="278">
        <f t="shared" si="0"/>
        <v>855.02</v>
      </c>
      <c r="G79" s="263" t="str">
        <f>VLOOKUP('Trial Balance'!$A79,'Code Allocation'!$A:$D,3,0)</f>
        <v>CRA</v>
      </c>
      <c r="H79" s="266" t="str">
        <f>VLOOKUP('Trial Balance'!$A79,'Code Allocation'!$A:$D,4,0)</f>
        <v>Buildings &amp; Cultural Activities</v>
      </c>
      <c r="I79" s="267" t="str">
        <f>VLOOKUP('Trial Balance'!$A79,'Code Allocation'!$A:$E,5,0)</f>
        <v>Premises Related Expenses</v>
      </c>
      <c r="J79" s="268" t="str">
        <f>VLOOKUP('Trial Balance'!$A79,'Code Allocation'!$A:$F,6,0)</f>
        <v>Repairs &amp; Maintenance - General</v>
      </c>
      <c r="K79" s="263"/>
      <c r="L79" s="263"/>
      <c r="M79" s="263"/>
      <c r="N79" s="263"/>
      <c r="O79" s="263"/>
      <c r="P79" s="263"/>
      <c r="Q79" s="263"/>
      <c r="R79" s="263"/>
      <c r="S79" s="263"/>
      <c r="T79" s="263"/>
      <c r="U79" s="263"/>
      <c r="V79" s="263"/>
      <c r="W79" s="263"/>
      <c r="X79" s="263"/>
      <c r="Y79" s="263"/>
      <c r="Z79" s="263"/>
      <c r="AA79" s="263"/>
      <c r="AB79" s="263"/>
      <c r="AC79" s="263"/>
      <c r="AD79" s="263"/>
      <c r="AE79" s="263"/>
      <c r="AF79" s="263"/>
      <c r="AG79" s="263"/>
      <c r="AH79" s="263"/>
      <c r="AI79" s="263"/>
      <c r="AJ79" s="263"/>
      <c r="AK79" s="263"/>
      <c r="AL79" s="263"/>
      <c r="AM79" s="263"/>
      <c r="AN79" s="263"/>
      <c r="AO79" s="263"/>
      <c r="AP79" s="263"/>
      <c r="AQ79" s="263"/>
      <c r="AR79" s="263"/>
      <c r="AS79" s="263"/>
      <c r="AT79" s="263"/>
      <c r="AU79" s="263"/>
      <c r="AV79" s="263"/>
      <c r="AW79" s="263"/>
      <c r="AX79" s="263"/>
      <c r="AY79" s="263"/>
      <c r="AZ79" s="263"/>
      <c r="BA79" s="263"/>
      <c r="BB79" s="263"/>
      <c r="BC79" s="263"/>
      <c r="BD79" s="263"/>
      <c r="BE79" s="263"/>
      <c r="BF79" s="263"/>
      <c r="BG79" s="263"/>
      <c r="BH79" s="263"/>
      <c r="BI79" s="263"/>
      <c r="BJ79" s="263"/>
      <c r="BK79" s="263"/>
      <c r="BL79" s="263"/>
      <c r="BM79" s="263"/>
      <c r="BN79" s="263"/>
      <c r="BO79" s="263"/>
      <c r="BP79" s="263"/>
      <c r="BQ79" s="263"/>
      <c r="BR79" s="263"/>
      <c r="BS79" s="263"/>
      <c r="BT79" s="263"/>
      <c r="BU79" s="263"/>
      <c r="BV79" s="263"/>
      <c r="BW79" s="263"/>
      <c r="BX79" s="263"/>
      <c r="BY79" s="263"/>
      <c r="BZ79" s="263"/>
      <c r="CA79" s="263"/>
      <c r="CB79" s="263"/>
      <c r="CC79" s="263"/>
      <c r="CD79" s="263"/>
      <c r="CE79" s="263"/>
      <c r="CF79" s="263"/>
      <c r="CG79" s="263"/>
      <c r="CH79" s="263"/>
      <c r="CI79" s="263"/>
      <c r="CJ79" s="263"/>
      <c r="CK79" s="263"/>
      <c r="CL79" s="263"/>
      <c r="CM79" s="263"/>
      <c r="CN79" s="263"/>
      <c r="CO79" s="263"/>
      <c r="CP79" s="263"/>
      <c r="CQ79" s="263"/>
      <c r="CR79" s="263"/>
      <c r="CS79" s="263"/>
      <c r="CT79" s="263"/>
      <c r="CU79" s="263"/>
      <c r="CV79" s="263"/>
      <c r="CW79" s="263"/>
      <c r="CX79" s="263"/>
      <c r="CY79" s="263"/>
      <c r="CZ79" s="263"/>
      <c r="DA79" s="263"/>
      <c r="DB79" s="263"/>
      <c r="DC79" s="263"/>
      <c r="DD79" s="263"/>
      <c r="DE79" s="263"/>
      <c r="DF79" s="263"/>
      <c r="DG79" s="263"/>
      <c r="DH79" s="263"/>
      <c r="DI79" s="263"/>
      <c r="DJ79" s="263"/>
      <c r="DK79" s="263"/>
      <c r="DL79" s="263"/>
      <c r="DM79" s="263"/>
      <c r="DN79" s="263"/>
      <c r="DO79" s="263"/>
      <c r="DP79" s="263"/>
      <c r="DQ79" s="263"/>
      <c r="DR79" s="263"/>
      <c r="DS79" s="263"/>
      <c r="DT79" s="263"/>
      <c r="DU79" s="263"/>
      <c r="DV79" s="263"/>
      <c r="DW79" s="263"/>
      <c r="DX79" s="263"/>
      <c r="DY79" s="263"/>
      <c r="DZ79" s="263"/>
      <c r="EA79" s="263"/>
      <c r="EB79" s="263"/>
      <c r="EC79" s="263"/>
      <c r="ED79" s="263"/>
      <c r="EE79" s="263"/>
      <c r="EF79" s="263"/>
      <c r="EG79" s="263"/>
      <c r="EH79" s="263"/>
      <c r="EI79" s="263"/>
      <c r="EJ79" s="263"/>
      <c r="EK79" s="263"/>
      <c r="EL79" s="263"/>
      <c r="EM79" s="263"/>
      <c r="EN79" s="263"/>
      <c r="EO79" s="263"/>
      <c r="EP79" s="263"/>
      <c r="EQ79" s="263"/>
      <c r="ER79" s="263"/>
      <c r="ES79" s="263"/>
      <c r="ET79" s="263"/>
      <c r="EU79" s="263"/>
      <c r="EV79" s="263"/>
      <c r="EW79" s="263"/>
      <c r="EX79" s="263"/>
      <c r="EY79" s="263"/>
      <c r="EZ79" s="263"/>
      <c r="FA79" s="263"/>
      <c r="FB79" s="263"/>
      <c r="FC79" s="263"/>
      <c r="FD79" s="263"/>
      <c r="FE79" s="263"/>
      <c r="FF79" s="263"/>
      <c r="FG79" s="263"/>
      <c r="FH79" s="263"/>
      <c r="FI79" s="263"/>
      <c r="FJ79" s="263"/>
      <c r="FK79" s="263"/>
      <c r="FL79" s="263"/>
      <c r="FM79" s="263"/>
      <c r="FN79" s="263"/>
      <c r="FO79" s="263"/>
      <c r="FP79" s="263"/>
      <c r="FQ79" s="263"/>
      <c r="FR79" s="263"/>
      <c r="FS79" s="263"/>
      <c r="FT79" s="263"/>
      <c r="FU79" s="263"/>
      <c r="FV79" s="263"/>
      <c r="FW79" s="263"/>
      <c r="FX79" s="263"/>
      <c r="FY79" s="263"/>
      <c r="FZ79" s="263"/>
      <c r="GA79" s="263"/>
      <c r="GB79" s="263"/>
      <c r="GC79" s="263"/>
      <c r="GD79" s="263"/>
      <c r="GE79" s="263"/>
      <c r="GF79" s="263"/>
      <c r="GG79" s="263"/>
      <c r="GH79" s="263"/>
      <c r="GI79" s="263"/>
      <c r="GJ79" s="263"/>
      <c r="GK79" s="263"/>
      <c r="GL79" s="263"/>
      <c r="GM79" s="263"/>
      <c r="GN79" s="263"/>
      <c r="GO79" s="263"/>
      <c r="GP79" s="263"/>
      <c r="GQ79" s="263"/>
      <c r="GR79" s="263"/>
      <c r="GS79" s="263"/>
      <c r="GT79" s="263"/>
      <c r="GU79" s="263"/>
      <c r="GV79" s="263"/>
      <c r="GW79" s="263"/>
      <c r="GX79" s="263"/>
      <c r="GY79" s="263"/>
      <c r="GZ79" s="263"/>
      <c r="HA79" s="263"/>
      <c r="HB79" s="263"/>
      <c r="HC79" s="263"/>
      <c r="HD79" s="263"/>
      <c r="HE79" s="263"/>
      <c r="HF79" s="263"/>
      <c r="HG79" s="263"/>
      <c r="HH79" s="263"/>
      <c r="HI79" s="263"/>
      <c r="HJ79" s="263"/>
      <c r="HK79" s="263"/>
      <c r="HL79" s="263"/>
      <c r="HM79" s="263"/>
      <c r="HN79" s="263"/>
      <c r="HO79" s="263"/>
      <c r="HP79" s="263"/>
      <c r="HQ79" s="263"/>
      <c r="HR79" s="263"/>
      <c r="HS79" s="263"/>
      <c r="HT79" s="263"/>
      <c r="HU79" s="263"/>
      <c r="HV79" s="263"/>
      <c r="HW79" s="263"/>
      <c r="HX79" s="263"/>
      <c r="HY79" s="263"/>
      <c r="HZ79" s="263"/>
      <c r="IA79" s="263"/>
      <c r="IB79" s="263"/>
      <c r="IC79" s="263"/>
      <c r="ID79" s="263"/>
      <c r="IE79" s="263"/>
      <c r="IF79" s="263"/>
      <c r="IG79" s="263"/>
      <c r="IH79" s="263"/>
      <c r="II79" s="263"/>
      <c r="IJ79" s="263"/>
      <c r="IK79" s="263"/>
      <c r="IL79" s="263"/>
      <c r="IM79" s="263"/>
      <c r="IN79" s="263"/>
      <c r="IO79" s="263"/>
      <c r="IP79" s="263"/>
      <c r="IQ79" s="263"/>
      <c r="IR79" s="263"/>
      <c r="IS79" s="263"/>
      <c r="IT79" s="263"/>
      <c r="IU79" s="263"/>
      <c r="IV79" s="263"/>
    </row>
    <row r="80" spans="1:256" s="279" customFormat="1" ht="15" hidden="1" customHeight="1" x14ac:dyDescent="0.3">
      <c r="A80" s="638">
        <v>27440102</v>
      </c>
      <c r="B80" s="638" t="s">
        <v>433</v>
      </c>
      <c r="C80" s="638">
        <v>286.2</v>
      </c>
      <c r="D80" s="311"/>
      <c r="E80" s="305">
        <f>SUMIF(Adjustments!A:A,A80,Adjustments!C:C)</f>
        <v>0</v>
      </c>
      <c r="F80" s="278">
        <f t="shared" si="0"/>
        <v>286.2</v>
      </c>
      <c r="G80" s="263" t="str">
        <f>VLOOKUP('Trial Balance'!$A80,'Code Allocation'!$A:$D,3,0)</f>
        <v>CRA</v>
      </c>
      <c r="H80" s="266" t="str">
        <f>VLOOKUP('Trial Balance'!$A80,'Code Allocation'!$A:$D,4,0)</f>
        <v>Buildings &amp; Cultural Activities</v>
      </c>
      <c r="I80" s="267" t="str">
        <f>VLOOKUP('Trial Balance'!$A80,'Code Allocation'!$A:$E,5,0)</f>
        <v>Supplies and Services</v>
      </c>
      <c r="J80" s="268" t="str">
        <f>VLOOKUP('Trial Balance'!$A80,'Code Allocation'!$A:$F,6,0)</f>
        <v>Tools &amp; Materials</v>
      </c>
      <c r="K80" s="263"/>
      <c r="L80" s="263"/>
      <c r="M80" s="263"/>
      <c r="N80" s="263"/>
      <c r="O80" s="263"/>
      <c r="P80" s="263"/>
      <c r="Q80" s="263"/>
      <c r="R80" s="263"/>
      <c r="S80" s="263"/>
      <c r="T80" s="263"/>
      <c r="U80" s="263"/>
      <c r="V80" s="263"/>
      <c r="W80" s="263"/>
      <c r="X80" s="263"/>
      <c r="Y80" s="263"/>
      <c r="Z80" s="263"/>
      <c r="AA80" s="263"/>
      <c r="AB80" s="263"/>
      <c r="AC80" s="263"/>
      <c r="AD80" s="263"/>
      <c r="AE80" s="263"/>
      <c r="AF80" s="263"/>
      <c r="AG80" s="263"/>
      <c r="AH80" s="263"/>
      <c r="AI80" s="263"/>
      <c r="AJ80" s="263"/>
      <c r="AK80" s="263"/>
      <c r="AL80" s="263"/>
      <c r="AM80" s="263"/>
      <c r="AN80" s="263"/>
      <c r="AO80" s="263"/>
      <c r="AP80" s="263"/>
      <c r="AQ80" s="263"/>
      <c r="AR80" s="263"/>
      <c r="AS80" s="263"/>
      <c r="AT80" s="263"/>
      <c r="AU80" s="263"/>
      <c r="AV80" s="263"/>
      <c r="AW80" s="263"/>
      <c r="AX80" s="263"/>
      <c r="AY80" s="263"/>
      <c r="AZ80" s="263"/>
      <c r="BA80" s="263"/>
      <c r="BB80" s="263"/>
      <c r="BC80" s="263"/>
      <c r="BD80" s="263"/>
      <c r="BE80" s="263"/>
      <c r="BF80" s="263"/>
      <c r="BG80" s="263"/>
      <c r="BH80" s="263"/>
      <c r="BI80" s="263"/>
      <c r="BJ80" s="263"/>
      <c r="BK80" s="263"/>
      <c r="BL80" s="263"/>
      <c r="BM80" s="263"/>
      <c r="BN80" s="263"/>
      <c r="BO80" s="263"/>
      <c r="BP80" s="263"/>
      <c r="BQ80" s="263"/>
      <c r="BR80" s="263"/>
      <c r="BS80" s="263"/>
      <c r="BT80" s="263"/>
      <c r="BU80" s="263"/>
      <c r="BV80" s="263"/>
      <c r="BW80" s="263"/>
      <c r="BX80" s="263"/>
      <c r="BY80" s="263"/>
      <c r="BZ80" s="263"/>
      <c r="CA80" s="263"/>
      <c r="CB80" s="263"/>
      <c r="CC80" s="263"/>
      <c r="CD80" s="263"/>
      <c r="CE80" s="263"/>
      <c r="CF80" s="263"/>
      <c r="CG80" s="263"/>
      <c r="CH80" s="263"/>
      <c r="CI80" s="263"/>
      <c r="CJ80" s="263"/>
      <c r="CK80" s="263"/>
      <c r="CL80" s="263"/>
      <c r="CM80" s="263"/>
      <c r="CN80" s="263"/>
      <c r="CO80" s="263"/>
      <c r="CP80" s="263"/>
      <c r="CQ80" s="263"/>
      <c r="CR80" s="263"/>
      <c r="CS80" s="263"/>
      <c r="CT80" s="263"/>
      <c r="CU80" s="263"/>
      <c r="CV80" s="263"/>
      <c r="CW80" s="263"/>
      <c r="CX80" s="263"/>
      <c r="CY80" s="263"/>
      <c r="CZ80" s="263"/>
      <c r="DA80" s="263"/>
      <c r="DB80" s="263"/>
      <c r="DC80" s="263"/>
      <c r="DD80" s="263"/>
      <c r="DE80" s="263"/>
      <c r="DF80" s="263"/>
      <c r="DG80" s="263"/>
      <c r="DH80" s="263"/>
      <c r="DI80" s="263"/>
      <c r="DJ80" s="263"/>
      <c r="DK80" s="263"/>
      <c r="DL80" s="263"/>
      <c r="DM80" s="263"/>
      <c r="DN80" s="263"/>
      <c r="DO80" s="263"/>
      <c r="DP80" s="263"/>
      <c r="DQ80" s="263"/>
      <c r="DR80" s="263"/>
      <c r="DS80" s="263"/>
      <c r="DT80" s="263"/>
      <c r="DU80" s="263"/>
      <c r="DV80" s="263"/>
      <c r="DW80" s="263"/>
      <c r="DX80" s="263"/>
      <c r="DY80" s="263"/>
      <c r="DZ80" s="263"/>
      <c r="EA80" s="263"/>
      <c r="EB80" s="263"/>
      <c r="EC80" s="263"/>
      <c r="ED80" s="263"/>
      <c r="EE80" s="263"/>
      <c r="EF80" s="263"/>
      <c r="EG80" s="263"/>
      <c r="EH80" s="263"/>
      <c r="EI80" s="263"/>
      <c r="EJ80" s="263"/>
      <c r="EK80" s="263"/>
      <c r="EL80" s="263"/>
      <c r="EM80" s="263"/>
      <c r="EN80" s="263"/>
      <c r="EO80" s="263"/>
      <c r="EP80" s="263"/>
      <c r="EQ80" s="263"/>
      <c r="ER80" s="263"/>
      <c r="ES80" s="263"/>
      <c r="ET80" s="263"/>
      <c r="EU80" s="263"/>
      <c r="EV80" s="263"/>
      <c r="EW80" s="263"/>
      <c r="EX80" s="263"/>
      <c r="EY80" s="263"/>
      <c r="EZ80" s="263"/>
      <c r="FA80" s="263"/>
      <c r="FB80" s="263"/>
      <c r="FC80" s="263"/>
      <c r="FD80" s="263"/>
      <c r="FE80" s="263"/>
      <c r="FF80" s="263"/>
      <c r="FG80" s="263"/>
      <c r="FH80" s="263"/>
      <c r="FI80" s="263"/>
      <c r="FJ80" s="263"/>
      <c r="FK80" s="263"/>
      <c r="FL80" s="263"/>
      <c r="FM80" s="263"/>
      <c r="FN80" s="263"/>
      <c r="FO80" s="263"/>
      <c r="FP80" s="263"/>
      <c r="FQ80" s="263"/>
      <c r="FR80" s="263"/>
      <c r="FS80" s="263"/>
      <c r="FT80" s="263"/>
      <c r="FU80" s="263"/>
      <c r="FV80" s="263"/>
      <c r="FW80" s="263"/>
      <c r="FX80" s="263"/>
      <c r="FY80" s="263"/>
      <c r="FZ80" s="263"/>
      <c r="GA80" s="263"/>
      <c r="GB80" s="263"/>
      <c r="GC80" s="263"/>
      <c r="GD80" s="263"/>
      <c r="GE80" s="263"/>
      <c r="GF80" s="263"/>
      <c r="GG80" s="263"/>
      <c r="GH80" s="263"/>
      <c r="GI80" s="263"/>
      <c r="GJ80" s="263"/>
      <c r="GK80" s="263"/>
      <c r="GL80" s="263"/>
      <c r="GM80" s="263"/>
      <c r="GN80" s="263"/>
      <c r="GO80" s="263"/>
      <c r="GP80" s="263"/>
      <c r="GQ80" s="263"/>
      <c r="GR80" s="263"/>
      <c r="GS80" s="263"/>
      <c r="GT80" s="263"/>
      <c r="GU80" s="263"/>
      <c r="GV80" s="263"/>
      <c r="GW80" s="263"/>
      <c r="GX80" s="263"/>
      <c r="GY80" s="263"/>
      <c r="GZ80" s="263"/>
      <c r="HA80" s="263"/>
      <c r="HB80" s="263"/>
      <c r="HC80" s="263"/>
      <c r="HD80" s="263"/>
      <c r="HE80" s="263"/>
      <c r="HF80" s="263"/>
      <c r="HG80" s="263"/>
      <c r="HH80" s="263"/>
      <c r="HI80" s="263"/>
      <c r="HJ80" s="263"/>
      <c r="HK80" s="263"/>
      <c r="HL80" s="263"/>
      <c r="HM80" s="263"/>
      <c r="HN80" s="263"/>
      <c r="HO80" s="263"/>
      <c r="HP80" s="263"/>
      <c r="HQ80" s="263"/>
      <c r="HR80" s="263"/>
      <c r="HS80" s="263"/>
      <c r="HT80" s="263"/>
      <c r="HU80" s="263"/>
      <c r="HV80" s="263"/>
      <c r="HW80" s="263"/>
      <c r="HX80" s="263"/>
      <c r="HY80" s="263"/>
      <c r="HZ80" s="263"/>
      <c r="IA80" s="263"/>
      <c r="IB80" s="263"/>
      <c r="IC80" s="263"/>
      <c r="ID80" s="263"/>
      <c r="IE80" s="263"/>
      <c r="IF80" s="263"/>
      <c r="IG80" s="263"/>
      <c r="IH80" s="263"/>
      <c r="II80" s="263"/>
      <c r="IJ80" s="263"/>
      <c r="IK80" s="263"/>
      <c r="IL80" s="263"/>
      <c r="IM80" s="263"/>
      <c r="IN80" s="263"/>
      <c r="IO80" s="263"/>
      <c r="IP80" s="263"/>
      <c r="IQ80" s="263"/>
      <c r="IR80" s="263"/>
      <c r="IS80" s="263"/>
      <c r="IT80" s="263"/>
      <c r="IU80" s="263"/>
      <c r="IV80" s="263"/>
    </row>
    <row r="81" spans="1:256" s="281" customFormat="1" ht="15" hidden="1" customHeight="1" x14ac:dyDescent="0.3">
      <c r="A81" s="638">
        <v>27440199</v>
      </c>
      <c r="B81" s="638" t="s">
        <v>434</v>
      </c>
      <c r="C81" s="640">
        <v>2806.75</v>
      </c>
      <c r="D81" s="311"/>
      <c r="E81" s="305">
        <f>SUMIF(Adjustments!A:A,A81,Adjustments!C:C)</f>
        <v>0</v>
      </c>
      <c r="F81" s="278">
        <f t="shared" si="0"/>
        <v>2806.75</v>
      </c>
      <c r="G81" s="263" t="str">
        <f>VLOOKUP('Trial Balance'!$A81,'Code Allocation'!$A:$D,3,0)</f>
        <v>CRA</v>
      </c>
      <c r="H81" s="266" t="str">
        <f>VLOOKUP('Trial Balance'!$A81,'Code Allocation'!$A:$D,4,0)</f>
        <v>Buildings &amp; Cultural Activities</v>
      </c>
      <c r="I81" s="267" t="str">
        <f>VLOOKUP('Trial Balance'!$A81,'Code Allocation'!$A:$E,5,0)</f>
        <v>Supplies and Services</v>
      </c>
      <c r="J81" s="268" t="str">
        <f>VLOOKUP('Trial Balance'!$A81,'Code Allocation'!$A:$F,6,0)</f>
        <v>Tools &amp; Materials</v>
      </c>
      <c r="K81" s="263"/>
      <c r="L81" s="263"/>
      <c r="M81" s="263"/>
      <c r="N81" s="263"/>
      <c r="O81" s="263"/>
      <c r="P81" s="263"/>
      <c r="Q81" s="263"/>
      <c r="R81" s="263"/>
      <c r="S81" s="263"/>
      <c r="T81" s="263"/>
      <c r="U81" s="263"/>
      <c r="V81" s="263"/>
      <c r="W81" s="263"/>
      <c r="X81" s="263"/>
      <c r="Y81" s="263"/>
      <c r="Z81" s="263"/>
      <c r="AA81" s="263"/>
      <c r="AB81" s="263"/>
      <c r="AC81" s="263"/>
      <c r="AD81" s="263"/>
      <c r="AE81" s="263"/>
      <c r="AF81" s="263"/>
      <c r="AG81" s="263"/>
      <c r="AH81" s="263"/>
      <c r="AI81" s="263"/>
      <c r="AJ81" s="263"/>
      <c r="AK81" s="263"/>
      <c r="AL81" s="263"/>
      <c r="AM81" s="263"/>
      <c r="AN81" s="263"/>
      <c r="AO81" s="263"/>
      <c r="AP81" s="263"/>
      <c r="AQ81" s="263"/>
      <c r="AR81" s="263"/>
      <c r="AS81" s="263"/>
      <c r="AT81" s="263"/>
      <c r="AU81" s="263"/>
      <c r="AV81" s="263"/>
      <c r="AW81" s="263"/>
      <c r="AX81" s="263"/>
      <c r="AY81" s="263"/>
      <c r="AZ81" s="263"/>
      <c r="BA81" s="263"/>
      <c r="BB81" s="263"/>
      <c r="BC81" s="263"/>
      <c r="BD81" s="263"/>
      <c r="BE81" s="263"/>
      <c r="BF81" s="263"/>
      <c r="BG81" s="263"/>
      <c r="BH81" s="263"/>
      <c r="BI81" s="263"/>
      <c r="BJ81" s="263"/>
      <c r="BK81" s="263"/>
      <c r="BL81" s="263"/>
      <c r="BM81" s="263"/>
      <c r="BN81" s="263"/>
      <c r="BO81" s="263"/>
      <c r="BP81" s="263"/>
      <c r="BQ81" s="263"/>
      <c r="BR81" s="263"/>
      <c r="BS81" s="263"/>
      <c r="BT81" s="263"/>
      <c r="BU81" s="263"/>
      <c r="BV81" s="263"/>
      <c r="BW81" s="263"/>
      <c r="BX81" s="263"/>
      <c r="BY81" s="263"/>
      <c r="BZ81" s="263"/>
      <c r="CA81" s="263"/>
      <c r="CB81" s="263"/>
      <c r="CC81" s="263"/>
      <c r="CD81" s="263"/>
      <c r="CE81" s="263"/>
      <c r="CF81" s="263"/>
      <c r="CG81" s="263"/>
      <c r="CH81" s="263"/>
      <c r="CI81" s="263"/>
      <c r="CJ81" s="263"/>
      <c r="CK81" s="263"/>
      <c r="CL81" s="263"/>
      <c r="CM81" s="263"/>
      <c r="CN81" s="263"/>
      <c r="CO81" s="263"/>
      <c r="CP81" s="263"/>
      <c r="CQ81" s="263"/>
      <c r="CR81" s="263"/>
      <c r="CS81" s="263"/>
      <c r="CT81" s="263"/>
      <c r="CU81" s="263"/>
      <c r="CV81" s="263"/>
      <c r="CW81" s="263"/>
      <c r="CX81" s="263"/>
      <c r="CY81" s="263"/>
      <c r="CZ81" s="263"/>
      <c r="DA81" s="263"/>
      <c r="DB81" s="263"/>
      <c r="DC81" s="263"/>
      <c r="DD81" s="263"/>
      <c r="DE81" s="263"/>
      <c r="DF81" s="263"/>
      <c r="DG81" s="263"/>
      <c r="DH81" s="263"/>
      <c r="DI81" s="263"/>
      <c r="DJ81" s="263"/>
      <c r="DK81" s="263"/>
      <c r="DL81" s="263"/>
      <c r="DM81" s="263"/>
      <c r="DN81" s="263"/>
      <c r="DO81" s="263"/>
      <c r="DP81" s="263"/>
      <c r="DQ81" s="263"/>
      <c r="DR81" s="263"/>
      <c r="DS81" s="263"/>
      <c r="DT81" s="263"/>
      <c r="DU81" s="263"/>
      <c r="DV81" s="263"/>
      <c r="DW81" s="263"/>
      <c r="DX81" s="263"/>
      <c r="DY81" s="263"/>
      <c r="DZ81" s="263"/>
      <c r="EA81" s="263"/>
      <c r="EB81" s="263"/>
      <c r="EC81" s="263"/>
      <c r="ED81" s="263"/>
      <c r="EE81" s="263"/>
      <c r="EF81" s="263"/>
      <c r="EG81" s="263"/>
      <c r="EH81" s="263"/>
      <c r="EI81" s="263"/>
      <c r="EJ81" s="263"/>
      <c r="EK81" s="263"/>
      <c r="EL81" s="263"/>
      <c r="EM81" s="263"/>
      <c r="EN81" s="263"/>
      <c r="EO81" s="263"/>
      <c r="EP81" s="263"/>
      <c r="EQ81" s="263"/>
      <c r="ER81" s="263"/>
      <c r="ES81" s="263"/>
      <c r="ET81" s="263"/>
      <c r="EU81" s="263"/>
      <c r="EV81" s="263"/>
      <c r="EW81" s="263"/>
      <c r="EX81" s="263"/>
      <c r="EY81" s="263"/>
      <c r="EZ81" s="263"/>
      <c r="FA81" s="263"/>
      <c r="FB81" s="263"/>
      <c r="FC81" s="263"/>
      <c r="FD81" s="263"/>
      <c r="FE81" s="263"/>
      <c r="FF81" s="263"/>
      <c r="FG81" s="263"/>
      <c r="FH81" s="263"/>
      <c r="FI81" s="263"/>
      <c r="FJ81" s="263"/>
      <c r="FK81" s="263"/>
      <c r="FL81" s="263"/>
      <c r="FM81" s="263"/>
      <c r="FN81" s="263"/>
      <c r="FO81" s="263"/>
      <c r="FP81" s="263"/>
      <c r="FQ81" s="263"/>
      <c r="FR81" s="263"/>
      <c r="FS81" s="263"/>
      <c r="FT81" s="263"/>
      <c r="FU81" s="263"/>
      <c r="FV81" s="263"/>
      <c r="FW81" s="263"/>
      <c r="FX81" s="263"/>
      <c r="FY81" s="263"/>
      <c r="FZ81" s="263"/>
      <c r="GA81" s="263"/>
      <c r="GB81" s="263"/>
      <c r="GC81" s="263"/>
      <c r="GD81" s="263"/>
      <c r="GE81" s="263"/>
      <c r="GF81" s="263"/>
      <c r="GG81" s="263"/>
      <c r="GH81" s="263"/>
      <c r="GI81" s="263"/>
      <c r="GJ81" s="263"/>
      <c r="GK81" s="263"/>
      <c r="GL81" s="263"/>
      <c r="GM81" s="263"/>
      <c r="GN81" s="263"/>
      <c r="GO81" s="263"/>
      <c r="GP81" s="263"/>
      <c r="GQ81" s="263"/>
      <c r="GR81" s="263"/>
      <c r="GS81" s="263"/>
      <c r="GT81" s="263"/>
      <c r="GU81" s="263"/>
      <c r="GV81" s="263"/>
      <c r="GW81" s="263"/>
      <c r="GX81" s="263"/>
      <c r="GY81" s="263"/>
      <c r="GZ81" s="263"/>
      <c r="HA81" s="263"/>
      <c r="HB81" s="263"/>
      <c r="HC81" s="263"/>
      <c r="HD81" s="263"/>
      <c r="HE81" s="263"/>
      <c r="HF81" s="263"/>
      <c r="HG81" s="263"/>
      <c r="HH81" s="263"/>
      <c r="HI81" s="263"/>
      <c r="HJ81" s="263"/>
      <c r="HK81" s="263"/>
      <c r="HL81" s="263"/>
      <c r="HM81" s="263"/>
      <c r="HN81" s="263"/>
      <c r="HO81" s="263"/>
      <c r="HP81" s="263"/>
      <c r="HQ81" s="263"/>
      <c r="HR81" s="263"/>
      <c r="HS81" s="263"/>
      <c r="HT81" s="263"/>
      <c r="HU81" s="263"/>
      <c r="HV81" s="263"/>
      <c r="HW81" s="263"/>
      <c r="HX81" s="263"/>
      <c r="HY81" s="263"/>
      <c r="HZ81" s="263"/>
      <c r="IA81" s="263"/>
      <c r="IB81" s="263"/>
      <c r="IC81" s="263"/>
      <c r="ID81" s="263"/>
      <c r="IE81" s="263"/>
      <c r="IF81" s="263"/>
      <c r="IG81" s="263"/>
      <c r="IH81" s="263"/>
      <c r="II81" s="263"/>
      <c r="IJ81" s="263"/>
      <c r="IK81" s="263"/>
      <c r="IL81" s="263"/>
      <c r="IM81" s="263"/>
      <c r="IN81" s="263"/>
      <c r="IO81" s="263"/>
      <c r="IP81" s="263"/>
      <c r="IQ81" s="263"/>
      <c r="IR81" s="263"/>
      <c r="IS81" s="263"/>
      <c r="IT81" s="263"/>
      <c r="IU81" s="263"/>
      <c r="IV81" s="263"/>
    </row>
    <row r="82" spans="1:256" s="281" customFormat="1" ht="15" hidden="1" customHeight="1" x14ac:dyDescent="0.3">
      <c r="A82" s="638">
        <v>27440499</v>
      </c>
      <c r="B82" s="638" t="s">
        <v>435</v>
      </c>
      <c r="C82" s="638">
        <v>284.58</v>
      </c>
      <c r="D82" s="311"/>
      <c r="E82" s="305">
        <f>SUMIF(Adjustments!A:A,A82,Adjustments!C:C)</f>
        <v>0</v>
      </c>
      <c r="F82" s="278">
        <f t="shared" si="0"/>
        <v>284.58</v>
      </c>
      <c r="G82" s="263" t="str">
        <f>VLOOKUP('Trial Balance'!$A82,'Code Allocation'!$A:$D,3,0)</f>
        <v>CRA</v>
      </c>
      <c r="H82" s="266" t="str">
        <f>VLOOKUP('Trial Balance'!$A82,'Code Allocation'!$A:$D,4,0)</f>
        <v>Buildings &amp; Cultural Activities</v>
      </c>
      <c r="I82" s="267" t="str">
        <f>VLOOKUP('Trial Balance'!$A82,'Code Allocation'!$A:$E,5,0)</f>
        <v>Supplies and Services</v>
      </c>
      <c r="J82" s="268" t="str">
        <f>VLOOKUP('Trial Balance'!$A82,'Code Allocation'!$A:$F,6,0)</f>
        <v>Health &amp; Safety</v>
      </c>
      <c r="K82" s="263"/>
      <c r="L82" s="263"/>
      <c r="M82" s="263"/>
      <c r="N82" s="263"/>
      <c r="O82" s="263"/>
      <c r="P82" s="263"/>
      <c r="Q82" s="263"/>
      <c r="R82" s="263"/>
      <c r="S82" s="263"/>
      <c r="T82" s="263"/>
      <c r="U82" s="263"/>
      <c r="V82" s="263"/>
      <c r="W82" s="263"/>
      <c r="X82" s="263"/>
      <c r="Y82" s="263"/>
      <c r="Z82" s="263"/>
      <c r="AA82" s="263"/>
      <c r="AB82" s="263"/>
      <c r="AC82" s="263"/>
      <c r="AD82" s="263"/>
      <c r="AE82" s="263"/>
      <c r="AF82" s="263"/>
      <c r="AG82" s="263"/>
      <c r="AH82" s="263"/>
      <c r="AI82" s="263"/>
      <c r="AJ82" s="263"/>
      <c r="AK82" s="263"/>
      <c r="AL82" s="263"/>
      <c r="AM82" s="263"/>
      <c r="AN82" s="263"/>
      <c r="AO82" s="263"/>
      <c r="AP82" s="263"/>
      <c r="AQ82" s="263"/>
      <c r="AR82" s="263"/>
      <c r="AS82" s="263"/>
      <c r="AT82" s="263"/>
      <c r="AU82" s="263"/>
      <c r="AV82" s="263"/>
      <c r="AW82" s="263"/>
      <c r="AX82" s="263"/>
      <c r="AY82" s="263"/>
      <c r="AZ82" s="263"/>
      <c r="BA82" s="263"/>
      <c r="BB82" s="263"/>
      <c r="BC82" s="263"/>
      <c r="BD82" s="263"/>
      <c r="BE82" s="263"/>
      <c r="BF82" s="263"/>
      <c r="BG82" s="263"/>
      <c r="BH82" s="263"/>
      <c r="BI82" s="263"/>
      <c r="BJ82" s="263"/>
      <c r="BK82" s="263"/>
      <c r="BL82" s="263"/>
      <c r="BM82" s="263"/>
      <c r="BN82" s="263"/>
      <c r="BO82" s="263"/>
      <c r="BP82" s="263"/>
      <c r="BQ82" s="263"/>
      <c r="BR82" s="263"/>
      <c r="BS82" s="263"/>
      <c r="BT82" s="263"/>
      <c r="BU82" s="263"/>
      <c r="BV82" s="263"/>
      <c r="BW82" s="263"/>
      <c r="BX82" s="263"/>
      <c r="BY82" s="263"/>
      <c r="BZ82" s="263"/>
      <c r="CA82" s="263"/>
      <c r="CB82" s="263"/>
      <c r="CC82" s="263"/>
      <c r="CD82" s="263"/>
      <c r="CE82" s="263"/>
      <c r="CF82" s="263"/>
      <c r="CG82" s="263"/>
      <c r="CH82" s="263"/>
      <c r="CI82" s="263"/>
      <c r="CJ82" s="263"/>
      <c r="CK82" s="263"/>
      <c r="CL82" s="263"/>
      <c r="CM82" s="263"/>
      <c r="CN82" s="263"/>
      <c r="CO82" s="263"/>
      <c r="CP82" s="263"/>
      <c r="CQ82" s="263"/>
      <c r="CR82" s="263"/>
      <c r="CS82" s="263"/>
      <c r="CT82" s="263"/>
      <c r="CU82" s="263"/>
      <c r="CV82" s="263"/>
      <c r="CW82" s="263"/>
      <c r="CX82" s="263"/>
      <c r="CY82" s="263"/>
      <c r="CZ82" s="263"/>
      <c r="DA82" s="263"/>
      <c r="DB82" s="263"/>
      <c r="DC82" s="263"/>
      <c r="DD82" s="263"/>
      <c r="DE82" s="263"/>
      <c r="DF82" s="263"/>
      <c r="DG82" s="263"/>
      <c r="DH82" s="263"/>
      <c r="DI82" s="263"/>
      <c r="DJ82" s="263"/>
      <c r="DK82" s="263"/>
      <c r="DL82" s="263"/>
      <c r="DM82" s="263"/>
      <c r="DN82" s="263"/>
      <c r="DO82" s="263"/>
      <c r="DP82" s="263"/>
      <c r="DQ82" s="263"/>
      <c r="DR82" s="263"/>
      <c r="DS82" s="263"/>
      <c r="DT82" s="263"/>
      <c r="DU82" s="263"/>
      <c r="DV82" s="263"/>
      <c r="DW82" s="263"/>
      <c r="DX82" s="263"/>
      <c r="DY82" s="263"/>
      <c r="DZ82" s="263"/>
      <c r="EA82" s="263"/>
      <c r="EB82" s="263"/>
      <c r="EC82" s="263"/>
      <c r="ED82" s="263"/>
      <c r="EE82" s="263"/>
      <c r="EF82" s="263"/>
      <c r="EG82" s="263"/>
      <c r="EH82" s="263"/>
      <c r="EI82" s="263"/>
      <c r="EJ82" s="263"/>
      <c r="EK82" s="263"/>
      <c r="EL82" s="263"/>
      <c r="EM82" s="263"/>
      <c r="EN82" s="263"/>
      <c r="EO82" s="263"/>
      <c r="EP82" s="263"/>
      <c r="EQ82" s="263"/>
      <c r="ER82" s="263"/>
      <c r="ES82" s="263"/>
      <c r="ET82" s="263"/>
      <c r="EU82" s="263"/>
      <c r="EV82" s="263"/>
      <c r="EW82" s="263"/>
      <c r="EX82" s="263"/>
      <c r="EY82" s="263"/>
      <c r="EZ82" s="263"/>
      <c r="FA82" s="263"/>
      <c r="FB82" s="263"/>
      <c r="FC82" s="263"/>
      <c r="FD82" s="263"/>
      <c r="FE82" s="263"/>
      <c r="FF82" s="263"/>
      <c r="FG82" s="263"/>
      <c r="FH82" s="263"/>
      <c r="FI82" s="263"/>
      <c r="FJ82" s="263"/>
      <c r="FK82" s="263"/>
      <c r="FL82" s="263"/>
      <c r="FM82" s="263"/>
      <c r="FN82" s="263"/>
      <c r="FO82" s="263"/>
      <c r="FP82" s="263"/>
      <c r="FQ82" s="263"/>
      <c r="FR82" s="263"/>
      <c r="FS82" s="263"/>
      <c r="FT82" s="263"/>
      <c r="FU82" s="263"/>
      <c r="FV82" s="263"/>
      <c r="FW82" s="263"/>
      <c r="FX82" s="263"/>
      <c r="FY82" s="263"/>
      <c r="FZ82" s="263"/>
      <c r="GA82" s="263"/>
      <c r="GB82" s="263"/>
      <c r="GC82" s="263"/>
      <c r="GD82" s="263"/>
      <c r="GE82" s="263"/>
      <c r="GF82" s="263"/>
      <c r="GG82" s="263"/>
      <c r="GH82" s="263"/>
      <c r="GI82" s="263"/>
      <c r="GJ82" s="263"/>
      <c r="GK82" s="263"/>
      <c r="GL82" s="263"/>
      <c r="GM82" s="263"/>
      <c r="GN82" s="263"/>
      <c r="GO82" s="263"/>
      <c r="GP82" s="263"/>
      <c r="GQ82" s="263"/>
      <c r="GR82" s="263"/>
      <c r="GS82" s="263"/>
      <c r="GT82" s="263"/>
      <c r="GU82" s="263"/>
      <c r="GV82" s="263"/>
      <c r="GW82" s="263"/>
      <c r="GX82" s="263"/>
      <c r="GY82" s="263"/>
      <c r="GZ82" s="263"/>
      <c r="HA82" s="263"/>
      <c r="HB82" s="263"/>
      <c r="HC82" s="263"/>
      <c r="HD82" s="263"/>
      <c r="HE82" s="263"/>
      <c r="HF82" s="263"/>
      <c r="HG82" s="263"/>
      <c r="HH82" s="263"/>
      <c r="HI82" s="263"/>
      <c r="HJ82" s="263"/>
      <c r="HK82" s="263"/>
      <c r="HL82" s="263"/>
      <c r="HM82" s="263"/>
      <c r="HN82" s="263"/>
      <c r="HO82" s="263"/>
      <c r="HP82" s="263"/>
      <c r="HQ82" s="263"/>
      <c r="HR82" s="263"/>
      <c r="HS82" s="263"/>
      <c r="HT82" s="263"/>
      <c r="HU82" s="263"/>
      <c r="HV82" s="263"/>
      <c r="HW82" s="263"/>
      <c r="HX82" s="263"/>
      <c r="HY82" s="263"/>
      <c r="HZ82" s="263"/>
      <c r="IA82" s="263"/>
      <c r="IB82" s="263"/>
      <c r="IC82" s="263"/>
      <c r="ID82" s="263"/>
      <c r="IE82" s="263"/>
      <c r="IF82" s="263"/>
      <c r="IG82" s="263"/>
      <c r="IH82" s="263"/>
      <c r="II82" s="263"/>
      <c r="IJ82" s="263"/>
      <c r="IK82" s="263"/>
      <c r="IL82" s="263"/>
      <c r="IM82" s="263"/>
      <c r="IN82" s="263"/>
      <c r="IO82" s="263"/>
      <c r="IP82" s="263"/>
      <c r="IQ82" s="263"/>
      <c r="IR82" s="263"/>
      <c r="IS82" s="263"/>
      <c r="IT82" s="263"/>
      <c r="IU82" s="263"/>
      <c r="IV82" s="263"/>
    </row>
    <row r="83" spans="1:256" s="281" customFormat="1" ht="15" hidden="1" customHeight="1" x14ac:dyDescent="0.3">
      <c r="A83" s="638">
        <v>27470198</v>
      </c>
      <c r="B83" s="638" t="s">
        <v>436</v>
      </c>
      <c r="C83" s="311"/>
      <c r="D83" s="638">
        <v>19.41</v>
      </c>
      <c r="E83" s="305">
        <f>SUMIF(Adjustments!A:A,A83,Adjustments!C:C)</f>
        <v>0</v>
      </c>
      <c r="F83" s="278">
        <f t="shared" si="0"/>
        <v>-19.41</v>
      </c>
      <c r="G83" s="263" t="str">
        <f>VLOOKUP('Trial Balance'!$A83,'Code Allocation'!$A:$D,3,0)</f>
        <v>CRA</v>
      </c>
      <c r="H83" s="266" t="str">
        <f>VLOOKUP('Trial Balance'!$A83,'Code Allocation'!$A:$D,4,0)</f>
        <v>Buildings &amp; Cultural Activities</v>
      </c>
      <c r="I83" s="267" t="str">
        <f>VLOOKUP('Trial Balance'!$A83,'Code Allocation'!$A:$E,5,0)</f>
        <v>Customer &amp; Client Receipts</v>
      </c>
      <c r="J83" s="268" t="str">
        <f>VLOOKUP('Trial Balance'!$A83,'Code Allocation'!$A:$F,6,0)</f>
        <v>Sundry</v>
      </c>
      <c r="K83" s="263"/>
      <c r="L83" s="263"/>
      <c r="M83" s="263"/>
      <c r="N83" s="263"/>
      <c r="O83" s="263"/>
      <c r="P83" s="263"/>
      <c r="Q83" s="263"/>
      <c r="R83" s="263"/>
      <c r="S83" s="263"/>
      <c r="T83" s="263"/>
      <c r="U83" s="263"/>
      <c r="V83" s="263"/>
      <c r="W83" s="263"/>
      <c r="X83" s="263"/>
      <c r="Y83" s="263"/>
      <c r="Z83" s="263"/>
      <c r="AA83" s="263"/>
      <c r="AB83" s="263"/>
      <c r="AC83" s="263"/>
      <c r="AD83" s="263"/>
      <c r="AE83" s="263"/>
      <c r="AF83" s="263"/>
      <c r="AG83" s="263"/>
      <c r="AH83" s="263"/>
      <c r="AI83" s="263"/>
      <c r="AJ83" s="263"/>
      <c r="AK83" s="263"/>
      <c r="AL83" s="263"/>
      <c r="AM83" s="263"/>
      <c r="AN83" s="263"/>
      <c r="AO83" s="263"/>
      <c r="AP83" s="263"/>
      <c r="AQ83" s="263"/>
      <c r="AR83" s="263"/>
      <c r="AS83" s="263"/>
      <c r="AT83" s="263"/>
      <c r="AU83" s="263"/>
      <c r="AV83" s="263"/>
      <c r="AW83" s="263"/>
      <c r="AX83" s="263"/>
      <c r="AY83" s="263"/>
      <c r="AZ83" s="263"/>
      <c r="BA83" s="263"/>
      <c r="BB83" s="263"/>
      <c r="BC83" s="263"/>
      <c r="BD83" s="263"/>
      <c r="BE83" s="263"/>
      <c r="BF83" s="263"/>
      <c r="BG83" s="263"/>
      <c r="BH83" s="263"/>
      <c r="BI83" s="263"/>
      <c r="BJ83" s="263"/>
      <c r="BK83" s="263"/>
      <c r="BL83" s="263"/>
      <c r="BM83" s="263"/>
      <c r="BN83" s="263"/>
      <c r="BO83" s="263"/>
      <c r="BP83" s="263"/>
      <c r="BQ83" s="263"/>
      <c r="BR83" s="263"/>
      <c r="BS83" s="263"/>
      <c r="BT83" s="263"/>
      <c r="BU83" s="263"/>
      <c r="BV83" s="263"/>
      <c r="BW83" s="263"/>
      <c r="BX83" s="263"/>
      <c r="BY83" s="263"/>
      <c r="BZ83" s="263"/>
      <c r="CA83" s="263"/>
      <c r="CB83" s="263"/>
      <c r="CC83" s="263"/>
      <c r="CD83" s="263"/>
      <c r="CE83" s="263"/>
      <c r="CF83" s="263"/>
      <c r="CG83" s="263"/>
      <c r="CH83" s="263"/>
      <c r="CI83" s="263"/>
      <c r="CJ83" s="263"/>
      <c r="CK83" s="263"/>
      <c r="CL83" s="263"/>
      <c r="CM83" s="263"/>
      <c r="CN83" s="263"/>
      <c r="CO83" s="263"/>
      <c r="CP83" s="263"/>
      <c r="CQ83" s="263"/>
      <c r="CR83" s="263"/>
      <c r="CS83" s="263"/>
      <c r="CT83" s="263"/>
      <c r="CU83" s="263"/>
      <c r="CV83" s="263"/>
      <c r="CW83" s="263"/>
      <c r="CX83" s="263"/>
      <c r="CY83" s="263"/>
      <c r="CZ83" s="263"/>
      <c r="DA83" s="263"/>
      <c r="DB83" s="263"/>
      <c r="DC83" s="263"/>
      <c r="DD83" s="263"/>
      <c r="DE83" s="263"/>
      <c r="DF83" s="263"/>
      <c r="DG83" s="263"/>
      <c r="DH83" s="263"/>
      <c r="DI83" s="263"/>
      <c r="DJ83" s="263"/>
      <c r="DK83" s="263"/>
      <c r="DL83" s="263"/>
      <c r="DM83" s="263"/>
      <c r="DN83" s="263"/>
      <c r="DO83" s="263"/>
      <c r="DP83" s="263"/>
      <c r="DQ83" s="263"/>
      <c r="DR83" s="263"/>
      <c r="DS83" s="263"/>
      <c r="DT83" s="263"/>
      <c r="DU83" s="263"/>
      <c r="DV83" s="263"/>
      <c r="DW83" s="263"/>
      <c r="DX83" s="263"/>
      <c r="DY83" s="263"/>
      <c r="DZ83" s="263"/>
      <c r="EA83" s="263"/>
      <c r="EB83" s="263"/>
      <c r="EC83" s="263"/>
      <c r="ED83" s="263"/>
      <c r="EE83" s="263"/>
      <c r="EF83" s="263"/>
      <c r="EG83" s="263"/>
      <c r="EH83" s="263"/>
      <c r="EI83" s="263"/>
      <c r="EJ83" s="263"/>
      <c r="EK83" s="263"/>
      <c r="EL83" s="263"/>
      <c r="EM83" s="263"/>
      <c r="EN83" s="263"/>
      <c r="EO83" s="263"/>
      <c r="EP83" s="263"/>
      <c r="EQ83" s="263"/>
      <c r="ER83" s="263"/>
      <c r="ES83" s="263"/>
      <c r="ET83" s="263"/>
      <c r="EU83" s="263"/>
      <c r="EV83" s="263"/>
      <c r="EW83" s="263"/>
      <c r="EX83" s="263"/>
      <c r="EY83" s="263"/>
      <c r="EZ83" s="263"/>
      <c r="FA83" s="263"/>
      <c r="FB83" s="263"/>
      <c r="FC83" s="263"/>
      <c r="FD83" s="263"/>
      <c r="FE83" s="263"/>
      <c r="FF83" s="263"/>
      <c r="FG83" s="263"/>
      <c r="FH83" s="263"/>
      <c r="FI83" s="263"/>
      <c r="FJ83" s="263"/>
      <c r="FK83" s="263"/>
      <c r="FL83" s="263"/>
      <c r="FM83" s="263"/>
      <c r="FN83" s="263"/>
      <c r="FO83" s="263"/>
      <c r="FP83" s="263"/>
      <c r="FQ83" s="263"/>
      <c r="FR83" s="263"/>
      <c r="FS83" s="263"/>
      <c r="FT83" s="263"/>
      <c r="FU83" s="263"/>
      <c r="FV83" s="263"/>
      <c r="FW83" s="263"/>
      <c r="FX83" s="263"/>
      <c r="FY83" s="263"/>
      <c r="FZ83" s="263"/>
      <c r="GA83" s="263"/>
      <c r="GB83" s="263"/>
      <c r="GC83" s="263"/>
      <c r="GD83" s="263"/>
      <c r="GE83" s="263"/>
      <c r="GF83" s="263"/>
      <c r="GG83" s="263"/>
      <c r="GH83" s="263"/>
      <c r="GI83" s="263"/>
      <c r="GJ83" s="263"/>
      <c r="GK83" s="263"/>
      <c r="GL83" s="263"/>
      <c r="GM83" s="263"/>
      <c r="GN83" s="263"/>
      <c r="GO83" s="263"/>
      <c r="GP83" s="263"/>
      <c r="GQ83" s="263"/>
      <c r="GR83" s="263"/>
      <c r="GS83" s="263"/>
      <c r="GT83" s="263"/>
      <c r="GU83" s="263"/>
      <c r="GV83" s="263"/>
      <c r="GW83" s="263"/>
      <c r="GX83" s="263"/>
      <c r="GY83" s="263"/>
      <c r="GZ83" s="263"/>
      <c r="HA83" s="263"/>
      <c r="HB83" s="263"/>
      <c r="HC83" s="263"/>
      <c r="HD83" s="263"/>
      <c r="HE83" s="263"/>
      <c r="HF83" s="263"/>
      <c r="HG83" s="263"/>
      <c r="HH83" s="263"/>
      <c r="HI83" s="263"/>
      <c r="HJ83" s="263"/>
      <c r="HK83" s="263"/>
      <c r="HL83" s="263"/>
      <c r="HM83" s="263"/>
      <c r="HN83" s="263"/>
      <c r="HO83" s="263"/>
      <c r="HP83" s="263"/>
      <c r="HQ83" s="263"/>
      <c r="HR83" s="263"/>
      <c r="HS83" s="263"/>
      <c r="HT83" s="263"/>
      <c r="HU83" s="263"/>
      <c r="HV83" s="263"/>
      <c r="HW83" s="263"/>
      <c r="HX83" s="263"/>
      <c r="HY83" s="263"/>
      <c r="HZ83" s="263"/>
      <c r="IA83" s="263"/>
      <c r="IB83" s="263"/>
      <c r="IC83" s="263"/>
      <c r="ID83" s="263"/>
      <c r="IE83" s="263"/>
      <c r="IF83" s="263"/>
      <c r="IG83" s="263"/>
      <c r="IH83" s="263"/>
      <c r="II83" s="263"/>
      <c r="IJ83" s="263"/>
      <c r="IK83" s="263"/>
      <c r="IL83" s="263"/>
      <c r="IM83" s="263"/>
      <c r="IN83" s="263"/>
      <c r="IO83" s="263"/>
      <c r="IP83" s="263"/>
      <c r="IQ83" s="263"/>
      <c r="IR83" s="263"/>
      <c r="IS83" s="263"/>
      <c r="IT83" s="263"/>
      <c r="IU83" s="263"/>
      <c r="IV83" s="263"/>
    </row>
    <row r="84" spans="1:256" s="281" customFormat="1" ht="15" hidden="1" customHeight="1" x14ac:dyDescent="0.3">
      <c r="A84" s="638">
        <v>27470199</v>
      </c>
      <c r="B84" s="638" t="s">
        <v>437</v>
      </c>
      <c r="C84" s="311"/>
      <c r="D84" s="638">
        <v>541.61</v>
      </c>
      <c r="E84" s="305">
        <f>SUMIF(Adjustments!A:A,A84,Adjustments!C:C)</f>
        <v>0</v>
      </c>
      <c r="F84" s="278">
        <f t="shared" si="0"/>
        <v>-541.61</v>
      </c>
      <c r="G84" s="263" t="str">
        <f>VLOOKUP('Trial Balance'!$A84,'Code Allocation'!$A:$D,3,0)</f>
        <v>CRA</v>
      </c>
      <c r="H84" s="266" t="str">
        <f>VLOOKUP('Trial Balance'!$A84,'Code Allocation'!$A:$D,4,0)</f>
        <v>Buildings &amp; Cultural Activities</v>
      </c>
      <c r="I84" s="267" t="str">
        <f>VLOOKUP('Trial Balance'!$A84,'Code Allocation'!$A:$E,5,0)</f>
        <v>Supplies and Services</v>
      </c>
      <c r="J84" s="268" t="str">
        <f>VLOOKUP('Trial Balance'!$A84,'Code Allocation'!$A:$F,6,0)</f>
        <v>Performing Rights</v>
      </c>
      <c r="K84" s="263"/>
      <c r="L84" s="263"/>
      <c r="M84" s="263"/>
      <c r="N84" s="263"/>
      <c r="O84" s="263"/>
      <c r="P84" s="263"/>
      <c r="Q84" s="263"/>
      <c r="R84" s="263"/>
      <c r="S84" s="263"/>
      <c r="T84" s="263"/>
      <c r="U84" s="263"/>
      <c r="V84" s="263"/>
      <c r="W84" s="263"/>
      <c r="X84" s="263"/>
      <c r="Y84" s="263"/>
      <c r="Z84" s="263"/>
      <c r="AA84" s="263"/>
      <c r="AB84" s="263"/>
      <c r="AC84" s="263"/>
      <c r="AD84" s="263"/>
      <c r="AE84" s="263"/>
      <c r="AF84" s="263"/>
      <c r="AG84" s="263"/>
      <c r="AH84" s="263"/>
      <c r="AI84" s="263"/>
      <c r="AJ84" s="263"/>
      <c r="AK84" s="263"/>
      <c r="AL84" s="263"/>
      <c r="AM84" s="263"/>
      <c r="AN84" s="263"/>
      <c r="AO84" s="263"/>
      <c r="AP84" s="263"/>
      <c r="AQ84" s="263"/>
      <c r="AR84" s="263"/>
      <c r="AS84" s="263"/>
      <c r="AT84" s="263"/>
      <c r="AU84" s="263"/>
      <c r="AV84" s="263"/>
      <c r="AW84" s="263"/>
      <c r="AX84" s="263"/>
      <c r="AY84" s="263"/>
      <c r="AZ84" s="263"/>
      <c r="BA84" s="263"/>
      <c r="BB84" s="263"/>
      <c r="BC84" s="263"/>
      <c r="BD84" s="263"/>
      <c r="BE84" s="263"/>
      <c r="BF84" s="263"/>
      <c r="BG84" s="263"/>
      <c r="BH84" s="263"/>
      <c r="BI84" s="263"/>
      <c r="BJ84" s="263"/>
      <c r="BK84" s="263"/>
      <c r="BL84" s="263"/>
      <c r="BM84" s="263"/>
      <c r="BN84" s="263"/>
      <c r="BO84" s="263"/>
      <c r="BP84" s="263"/>
      <c r="BQ84" s="263"/>
      <c r="BR84" s="263"/>
      <c r="BS84" s="263"/>
      <c r="BT84" s="263"/>
      <c r="BU84" s="263"/>
      <c r="BV84" s="263"/>
      <c r="BW84" s="263"/>
      <c r="BX84" s="263"/>
      <c r="BY84" s="263"/>
      <c r="BZ84" s="263"/>
      <c r="CA84" s="263"/>
      <c r="CB84" s="263"/>
      <c r="CC84" s="263"/>
      <c r="CD84" s="263"/>
      <c r="CE84" s="263"/>
      <c r="CF84" s="263"/>
      <c r="CG84" s="263"/>
      <c r="CH84" s="263"/>
      <c r="CI84" s="263"/>
      <c r="CJ84" s="263"/>
      <c r="CK84" s="263"/>
      <c r="CL84" s="263"/>
      <c r="CM84" s="263"/>
      <c r="CN84" s="263"/>
      <c r="CO84" s="263"/>
      <c r="CP84" s="263"/>
      <c r="CQ84" s="263"/>
      <c r="CR84" s="263"/>
      <c r="CS84" s="263"/>
      <c r="CT84" s="263"/>
      <c r="CU84" s="263"/>
      <c r="CV84" s="263"/>
      <c r="CW84" s="263"/>
      <c r="CX84" s="263"/>
      <c r="CY84" s="263"/>
      <c r="CZ84" s="263"/>
      <c r="DA84" s="263"/>
      <c r="DB84" s="263"/>
      <c r="DC84" s="263"/>
      <c r="DD84" s="263"/>
      <c r="DE84" s="263"/>
      <c r="DF84" s="263"/>
      <c r="DG84" s="263"/>
      <c r="DH84" s="263"/>
      <c r="DI84" s="263"/>
      <c r="DJ84" s="263"/>
      <c r="DK84" s="263"/>
      <c r="DL84" s="263"/>
      <c r="DM84" s="263"/>
      <c r="DN84" s="263"/>
      <c r="DO84" s="263"/>
      <c r="DP84" s="263"/>
      <c r="DQ84" s="263"/>
      <c r="DR84" s="263"/>
      <c r="DS84" s="263"/>
      <c r="DT84" s="263"/>
      <c r="DU84" s="263"/>
      <c r="DV84" s="263"/>
      <c r="DW84" s="263"/>
      <c r="DX84" s="263"/>
      <c r="DY84" s="263"/>
      <c r="DZ84" s="263"/>
      <c r="EA84" s="263"/>
      <c r="EB84" s="263"/>
      <c r="EC84" s="263"/>
      <c r="ED84" s="263"/>
      <c r="EE84" s="263"/>
      <c r="EF84" s="263"/>
      <c r="EG84" s="263"/>
      <c r="EH84" s="263"/>
      <c r="EI84" s="263"/>
      <c r="EJ84" s="263"/>
      <c r="EK84" s="263"/>
      <c r="EL84" s="263"/>
      <c r="EM84" s="263"/>
      <c r="EN84" s="263"/>
      <c r="EO84" s="263"/>
      <c r="EP84" s="263"/>
      <c r="EQ84" s="263"/>
      <c r="ER84" s="263"/>
      <c r="ES84" s="263"/>
      <c r="ET84" s="263"/>
      <c r="EU84" s="263"/>
      <c r="EV84" s="263"/>
      <c r="EW84" s="263"/>
      <c r="EX84" s="263"/>
      <c r="EY84" s="263"/>
      <c r="EZ84" s="263"/>
      <c r="FA84" s="263"/>
      <c r="FB84" s="263"/>
      <c r="FC84" s="263"/>
      <c r="FD84" s="263"/>
      <c r="FE84" s="263"/>
      <c r="FF84" s="263"/>
      <c r="FG84" s="263"/>
      <c r="FH84" s="263"/>
      <c r="FI84" s="263"/>
      <c r="FJ84" s="263"/>
      <c r="FK84" s="263"/>
      <c r="FL84" s="263"/>
      <c r="FM84" s="263"/>
      <c r="FN84" s="263"/>
      <c r="FO84" s="263"/>
      <c r="FP84" s="263"/>
      <c r="FQ84" s="263"/>
      <c r="FR84" s="263"/>
      <c r="FS84" s="263"/>
      <c r="FT84" s="263"/>
      <c r="FU84" s="263"/>
      <c r="FV84" s="263"/>
      <c r="FW84" s="263"/>
      <c r="FX84" s="263"/>
      <c r="FY84" s="263"/>
      <c r="FZ84" s="263"/>
      <c r="GA84" s="263"/>
      <c r="GB84" s="263"/>
      <c r="GC84" s="263"/>
      <c r="GD84" s="263"/>
      <c r="GE84" s="263"/>
      <c r="GF84" s="263"/>
      <c r="GG84" s="263"/>
      <c r="GH84" s="263"/>
      <c r="GI84" s="263"/>
      <c r="GJ84" s="263"/>
      <c r="GK84" s="263"/>
      <c r="GL84" s="263"/>
      <c r="GM84" s="263"/>
      <c r="GN84" s="263"/>
      <c r="GO84" s="263"/>
      <c r="GP84" s="263"/>
      <c r="GQ84" s="263"/>
      <c r="GR84" s="263"/>
      <c r="GS84" s="263"/>
      <c r="GT84" s="263"/>
      <c r="GU84" s="263"/>
      <c r="GV84" s="263"/>
      <c r="GW84" s="263"/>
      <c r="GX84" s="263"/>
      <c r="GY84" s="263"/>
      <c r="GZ84" s="263"/>
      <c r="HA84" s="263"/>
      <c r="HB84" s="263"/>
      <c r="HC84" s="263"/>
      <c r="HD84" s="263"/>
      <c r="HE84" s="263"/>
      <c r="HF84" s="263"/>
      <c r="HG84" s="263"/>
      <c r="HH84" s="263"/>
      <c r="HI84" s="263"/>
      <c r="HJ84" s="263"/>
      <c r="HK84" s="263"/>
      <c r="HL84" s="263"/>
      <c r="HM84" s="263"/>
      <c r="HN84" s="263"/>
      <c r="HO84" s="263"/>
      <c r="HP84" s="263"/>
      <c r="HQ84" s="263"/>
      <c r="HR84" s="263"/>
      <c r="HS84" s="263"/>
      <c r="HT84" s="263"/>
      <c r="HU84" s="263"/>
      <c r="HV84" s="263"/>
      <c r="HW84" s="263"/>
      <c r="HX84" s="263"/>
      <c r="HY84" s="263"/>
      <c r="HZ84" s="263"/>
      <c r="IA84" s="263"/>
      <c r="IB84" s="263"/>
      <c r="IC84" s="263"/>
      <c r="ID84" s="263"/>
      <c r="IE84" s="263"/>
      <c r="IF84" s="263"/>
      <c r="IG84" s="263"/>
      <c r="IH84" s="263"/>
      <c r="II84" s="263"/>
      <c r="IJ84" s="263"/>
      <c r="IK84" s="263"/>
      <c r="IL84" s="263"/>
      <c r="IM84" s="263"/>
      <c r="IN84" s="263"/>
      <c r="IO84" s="263"/>
      <c r="IP84" s="263"/>
      <c r="IQ84" s="263"/>
      <c r="IR84" s="263"/>
      <c r="IS84" s="263"/>
      <c r="IT84" s="263"/>
      <c r="IU84" s="263"/>
      <c r="IV84" s="263"/>
    </row>
    <row r="85" spans="1:256" s="281" customFormat="1" ht="15" hidden="1" customHeight="1" x14ac:dyDescent="0.3">
      <c r="A85" s="638">
        <v>27740102</v>
      </c>
      <c r="B85" s="638" t="s">
        <v>438</v>
      </c>
      <c r="C85" s="311"/>
      <c r="D85" s="638">
        <v>85.44</v>
      </c>
      <c r="E85" s="305">
        <f>SUMIF(Adjustments!A:A,A85,Adjustments!C:C)</f>
        <v>0</v>
      </c>
      <c r="F85" s="278">
        <f t="shared" si="0"/>
        <v>-85.44</v>
      </c>
      <c r="G85" s="263" t="str">
        <f>VLOOKUP('Trial Balance'!$A85,'Code Allocation'!$A:$D,3,0)</f>
        <v>CRA</v>
      </c>
      <c r="H85" s="266" t="str">
        <f>VLOOKUP('Trial Balance'!$A85,'Code Allocation'!$A:$D,4,0)</f>
        <v>Buildings &amp; Cultural Activities</v>
      </c>
      <c r="I85" s="267" t="str">
        <f>VLOOKUP('Trial Balance'!$A85,'Code Allocation'!$A:$E,5,0)</f>
        <v>Supplies and Services</v>
      </c>
      <c r="J85" s="268" t="str">
        <f>VLOOKUP('Trial Balance'!$A85,'Code Allocation'!$A:$F,6,0)</f>
        <v>Wedding Licence</v>
      </c>
      <c r="K85" s="263"/>
      <c r="L85" s="263"/>
      <c r="M85" s="263"/>
      <c r="N85" s="263"/>
      <c r="O85" s="263"/>
      <c r="P85" s="263"/>
      <c r="Q85" s="263"/>
      <c r="R85" s="263"/>
      <c r="S85" s="263"/>
      <c r="T85" s="263"/>
      <c r="U85" s="263"/>
      <c r="V85" s="263"/>
      <c r="W85" s="263"/>
      <c r="X85" s="263"/>
      <c r="Y85" s="263"/>
      <c r="Z85" s="263"/>
      <c r="AA85" s="263"/>
      <c r="AB85" s="263"/>
      <c r="AC85" s="263"/>
      <c r="AD85" s="263"/>
      <c r="AE85" s="263"/>
      <c r="AF85" s="263"/>
      <c r="AG85" s="263"/>
      <c r="AH85" s="263"/>
      <c r="AI85" s="263"/>
      <c r="AJ85" s="263"/>
      <c r="AK85" s="263"/>
      <c r="AL85" s="263"/>
      <c r="AM85" s="263"/>
      <c r="AN85" s="263"/>
      <c r="AO85" s="263"/>
      <c r="AP85" s="263"/>
      <c r="AQ85" s="263"/>
      <c r="AR85" s="263"/>
      <c r="AS85" s="263"/>
      <c r="AT85" s="263"/>
      <c r="AU85" s="263"/>
      <c r="AV85" s="263"/>
      <c r="AW85" s="263"/>
      <c r="AX85" s="263"/>
      <c r="AY85" s="263"/>
      <c r="AZ85" s="263"/>
      <c r="BA85" s="263"/>
      <c r="BB85" s="263"/>
      <c r="BC85" s="263"/>
      <c r="BD85" s="263"/>
      <c r="BE85" s="263"/>
      <c r="BF85" s="263"/>
      <c r="BG85" s="263"/>
      <c r="BH85" s="263"/>
      <c r="BI85" s="263"/>
      <c r="BJ85" s="263"/>
      <c r="BK85" s="263"/>
      <c r="BL85" s="263"/>
      <c r="BM85" s="263"/>
      <c r="BN85" s="263"/>
      <c r="BO85" s="263"/>
      <c r="BP85" s="263"/>
      <c r="BQ85" s="263"/>
      <c r="BR85" s="263"/>
      <c r="BS85" s="263"/>
      <c r="BT85" s="263"/>
      <c r="BU85" s="263"/>
      <c r="BV85" s="263"/>
      <c r="BW85" s="263"/>
      <c r="BX85" s="263"/>
      <c r="BY85" s="263"/>
      <c r="BZ85" s="263"/>
      <c r="CA85" s="263"/>
      <c r="CB85" s="263"/>
      <c r="CC85" s="263"/>
      <c r="CD85" s="263"/>
      <c r="CE85" s="263"/>
      <c r="CF85" s="263"/>
      <c r="CG85" s="263"/>
      <c r="CH85" s="263"/>
      <c r="CI85" s="263"/>
      <c r="CJ85" s="263"/>
      <c r="CK85" s="263"/>
      <c r="CL85" s="263"/>
      <c r="CM85" s="263"/>
      <c r="CN85" s="263"/>
      <c r="CO85" s="263"/>
      <c r="CP85" s="263"/>
      <c r="CQ85" s="263"/>
      <c r="CR85" s="263"/>
      <c r="CS85" s="263"/>
      <c r="CT85" s="263"/>
      <c r="CU85" s="263"/>
      <c r="CV85" s="263"/>
      <c r="CW85" s="263"/>
      <c r="CX85" s="263"/>
      <c r="CY85" s="263"/>
      <c r="CZ85" s="263"/>
      <c r="DA85" s="263"/>
      <c r="DB85" s="263"/>
      <c r="DC85" s="263"/>
      <c r="DD85" s="263"/>
      <c r="DE85" s="263"/>
      <c r="DF85" s="263"/>
      <c r="DG85" s="263"/>
      <c r="DH85" s="263"/>
      <c r="DI85" s="263"/>
      <c r="DJ85" s="263"/>
      <c r="DK85" s="263"/>
      <c r="DL85" s="263"/>
      <c r="DM85" s="263"/>
      <c r="DN85" s="263"/>
      <c r="DO85" s="263"/>
      <c r="DP85" s="263"/>
      <c r="DQ85" s="263"/>
      <c r="DR85" s="263"/>
      <c r="DS85" s="263"/>
      <c r="DT85" s="263"/>
      <c r="DU85" s="263"/>
      <c r="DV85" s="263"/>
      <c r="DW85" s="263"/>
      <c r="DX85" s="263"/>
      <c r="DY85" s="263"/>
      <c r="DZ85" s="263"/>
      <c r="EA85" s="263"/>
      <c r="EB85" s="263"/>
      <c r="EC85" s="263"/>
      <c r="ED85" s="263"/>
      <c r="EE85" s="263"/>
      <c r="EF85" s="263"/>
      <c r="EG85" s="263"/>
      <c r="EH85" s="263"/>
      <c r="EI85" s="263"/>
      <c r="EJ85" s="263"/>
      <c r="EK85" s="263"/>
      <c r="EL85" s="263"/>
      <c r="EM85" s="263"/>
      <c r="EN85" s="263"/>
      <c r="EO85" s="263"/>
      <c r="EP85" s="263"/>
      <c r="EQ85" s="263"/>
      <c r="ER85" s="263"/>
      <c r="ES85" s="263"/>
      <c r="ET85" s="263"/>
      <c r="EU85" s="263"/>
      <c r="EV85" s="263"/>
      <c r="EW85" s="263"/>
      <c r="EX85" s="263"/>
      <c r="EY85" s="263"/>
      <c r="EZ85" s="263"/>
      <c r="FA85" s="263"/>
      <c r="FB85" s="263"/>
      <c r="FC85" s="263"/>
      <c r="FD85" s="263"/>
      <c r="FE85" s="263"/>
      <c r="FF85" s="263"/>
      <c r="FG85" s="263"/>
      <c r="FH85" s="263"/>
      <c r="FI85" s="263"/>
      <c r="FJ85" s="263"/>
      <c r="FK85" s="263"/>
      <c r="FL85" s="263"/>
      <c r="FM85" s="263"/>
      <c r="FN85" s="263"/>
      <c r="FO85" s="263"/>
      <c r="FP85" s="263"/>
      <c r="FQ85" s="263"/>
      <c r="FR85" s="263"/>
      <c r="FS85" s="263"/>
      <c r="FT85" s="263"/>
      <c r="FU85" s="263"/>
      <c r="FV85" s="263"/>
      <c r="FW85" s="263"/>
      <c r="FX85" s="263"/>
      <c r="FY85" s="263"/>
      <c r="FZ85" s="263"/>
      <c r="GA85" s="263"/>
      <c r="GB85" s="263"/>
      <c r="GC85" s="263"/>
      <c r="GD85" s="263"/>
      <c r="GE85" s="263"/>
      <c r="GF85" s="263"/>
      <c r="GG85" s="263"/>
      <c r="GH85" s="263"/>
      <c r="GI85" s="263"/>
      <c r="GJ85" s="263"/>
      <c r="GK85" s="263"/>
      <c r="GL85" s="263"/>
      <c r="GM85" s="263"/>
      <c r="GN85" s="263"/>
      <c r="GO85" s="263"/>
      <c r="GP85" s="263"/>
      <c r="GQ85" s="263"/>
      <c r="GR85" s="263"/>
      <c r="GS85" s="263"/>
      <c r="GT85" s="263"/>
      <c r="GU85" s="263"/>
      <c r="GV85" s="263"/>
      <c r="GW85" s="263"/>
      <c r="GX85" s="263"/>
      <c r="GY85" s="263"/>
      <c r="GZ85" s="263"/>
      <c r="HA85" s="263"/>
      <c r="HB85" s="263"/>
      <c r="HC85" s="263"/>
      <c r="HD85" s="263"/>
      <c r="HE85" s="263"/>
      <c r="HF85" s="263"/>
      <c r="HG85" s="263"/>
      <c r="HH85" s="263"/>
      <c r="HI85" s="263"/>
      <c r="HJ85" s="263"/>
      <c r="HK85" s="263"/>
      <c r="HL85" s="263"/>
      <c r="HM85" s="263"/>
      <c r="HN85" s="263"/>
      <c r="HO85" s="263"/>
      <c r="HP85" s="263"/>
      <c r="HQ85" s="263"/>
      <c r="HR85" s="263"/>
      <c r="HS85" s="263"/>
      <c r="HT85" s="263"/>
      <c r="HU85" s="263"/>
      <c r="HV85" s="263"/>
      <c r="HW85" s="263"/>
      <c r="HX85" s="263"/>
      <c r="HY85" s="263"/>
      <c r="HZ85" s="263"/>
      <c r="IA85" s="263"/>
      <c r="IB85" s="263"/>
      <c r="IC85" s="263"/>
      <c r="ID85" s="263"/>
      <c r="IE85" s="263"/>
      <c r="IF85" s="263"/>
      <c r="IG85" s="263"/>
      <c r="IH85" s="263"/>
      <c r="II85" s="263"/>
      <c r="IJ85" s="263"/>
      <c r="IK85" s="263"/>
      <c r="IL85" s="263"/>
      <c r="IM85" s="263"/>
      <c r="IN85" s="263"/>
      <c r="IO85" s="263"/>
      <c r="IP85" s="263"/>
      <c r="IQ85" s="263"/>
      <c r="IR85" s="263"/>
      <c r="IS85" s="263"/>
      <c r="IT85" s="263"/>
      <c r="IU85" s="263"/>
      <c r="IV85" s="263"/>
    </row>
    <row r="86" spans="1:256" s="281" customFormat="1" ht="15" hidden="1" customHeight="1" x14ac:dyDescent="0.3">
      <c r="A86" s="638">
        <v>27910199</v>
      </c>
      <c r="B86" s="638" t="s">
        <v>439</v>
      </c>
      <c r="C86" s="640">
        <v>6565.11</v>
      </c>
      <c r="D86" s="311"/>
      <c r="E86" s="305">
        <f>SUMIF(Adjustments!A:A,A86,Adjustments!C:C)</f>
        <v>0</v>
      </c>
      <c r="F86" s="278">
        <f t="shared" si="0"/>
        <v>6565.11</v>
      </c>
      <c r="G86" s="263" t="str">
        <f>VLOOKUP('Trial Balance'!$A86,'Code Allocation'!$A:$D,3,0)</f>
        <v>CRA</v>
      </c>
      <c r="H86" s="266" t="str">
        <f>VLOOKUP('Trial Balance'!$A86,'Code Allocation'!$A:$D,4,0)</f>
        <v>Buildings &amp; Cultural Activities</v>
      </c>
      <c r="I86" s="267" t="str">
        <f>VLOOKUP('Trial Balance'!$A86,'Code Allocation'!$A:$E,5,0)</f>
        <v>Third Party Payments</v>
      </c>
      <c r="J86" s="268" t="str">
        <f>VLOOKUP('Trial Balance'!$A86,'Code Allocation'!$A:$F,6,0)</f>
        <v>Grants and Event Sponsorship</v>
      </c>
      <c r="K86" s="263"/>
      <c r="L86" s="263"/>
      <c r="M86" s="263"/>
      <c r="N86" s="263"/>
      <c r="O86" s="263"/>
      <c r="P86" s="263"/>
      <c r="Q86" s="263"/>
      <c r="R86" s="263"/>
      <c r="S86" s="263"/>
      <c r="T86" s="263"/>
      <c r="U86" s="263"/>
      <c r="V86" s="263"/>
      <c r="W86" s="263"/>
      <c r="X86" s="263"/>
      <c r="Y86" s="263"/>
      <c r="Z86" s="263"/>
      <c r="AA86" s="263"/>
      <c r="AB86" s="263"/>
      <c r="AC86" s="263"/>
      <c r="AD86" s="263"/>
      <c r="AE86" s="263"/>
      <c r="AF86" s="263"/>
      <c r="AG86" s="263"/>
      <c r="AH86" s="263"/>
      <c r="AI86" s="263"/>
      <c r="AJ86" s="263"/>
      <c r="AK86" s="263"/>
      <c r="AL86" s="263"/>
      <c r="AM86" s="263"/>
      <c r="AN86" s="263"/>
      <c r="AO86" s="263"/>
      <c r="AP86" s="263"/>
      <c r="AQ86" s="263"/>
      <c r="AR86" s="263"/>
      <c r="AS86" s="263"/>
      <c r="AT86" s="263"/>
      <c r="AU86" s="263"/>
      <c r="AV86" s="263"/>
      <c r="AW86" s="263"/>
      <c r="AX86" s="263"/>
      <c r="AY86" s="263"/>
      <c r="AZ86" s="263"/>
      <c r="BA86" s="263"/>
      <c r="BB86" s="263"/>
      <c r="BC86" s="263"/>
      <c r="BD86" s="263"/>
      <c r="BE86" s="263"/>
      <c r="BF86" s="263"/>
      <c r="BG86" s="263"/>
      <c r="BH86" s="263"/>
      <c r="BI86" s="263"/>
      <c r="BJ86" s="263"/>
      <c r="BK86" s="263"/>
      <c r="BL86" s="263"/>
      <c r="BM86" s="263"/>
      <c r="BN86" s="263"/>
      <c r="BO86" s="263"/>
      <c r="BP86" s="263"/>
      <c r="BQ86" s="263"/>
      <c r="BR86" s="263"/>
      <c r="BS86" s="263"/>
      <c r="BT86" s="263"/>
      <c r="BU86" s="263"/>
      <c r="BV86" s="263"/>
      <c r="BW86" s="263"/>
      <c r="BX86" s="263"/>
      <c r="BY86" s="263"/>
      <c r="BZ86" s="263"/>
      <c r="CA86" s="263"/>
      <c r="CB86" s="263"/>
      <c r="CC86" s="263"/>
      <c r="CD86" s="263"/>
      <c r="CE86" s="263"/>
      <c r="CF86" s="263"/>
      <c r="CG86" s="263"/>
      <c r="CH86" s="263"/>
      <c r="CI86" s="263"/>
      <c r="CJ86" s="263"/>
      <c r="CK86" s="263"/>
      <c r="CL86" s="263"/>
      <c r="CM86" s="263"/>
      <c r="CN86" s="263"/>
      <c r="CO86" s="263"/>
      <c r="CP86" s="263"/>
      <c r="CQ86" s="263"/>
      <c r="CR86" s="263"/>
      <c r="CS86" s="263"/>
      <c r="CT86" s="263"/>
      <c r="CU86" s="263"/>
      <c r="CV86" s="263"/>
      <c r="CW86" s="263"/>
      <c r="CX86" s="263"/>
      <c r="CY86" s="263"/>
      <c r="CZ86" s="263"/>
      <c r="DA86" s="263"/>
      <c r="DB86" s="263"/>
      <c r="DC86" s="263"/>
      <c r="DD86" s="263"/>
      <c r="DE86" s="263"/>
      <c r="DF86" s="263"/>
      <c r="DG86" s="263"/>
      <c r="DH86" s="263"/>
      <c r="DI86" s="263"/>
      <c r="DJ86" s="263"/>
      <c r="DK86" s="263"/>
      <c r="DL86" s="263"/>
      <c r="DM86" s="263"/>
      <c r="DN86" s="263"/>
      <c r="DO86" s="263"/>
      <c r="DP86" s="263"/>
      <c r="DQ86" s="263"/>
      <c r="DR86" s="263"/>
      <c r="DS86" s="263"/>
      <c r="DT86" s="263"/>
      <c r="DU86" s="263"/>
      <c r="DV86" s="263"/>
      <c r="DW86" s="263"/>
      <c r="DX86" s="263"/>
      <c r="DY86" s="263"/>
      <c r="DZ86" s="263"/>
      <c r="EA86" s="263"/>
      <c r="EB86" s="263"/>
      <c r="EC86" s="263"/>
      <c r="ED86" s="263"/>
      <c r="EE86" s="263"/>
      <c r="EF86" s="263"/>
      <c r="EG86" s="263"/>
      <c r="EH86" s="263"/>
      <c r="EI86" s="263"/>
      <c r="EJ86" s="263"/>
      <c r="EK86" s="263"/>
      <c r="EL86" s="263"/>
      <c r="EM86" s="263"/>
      <c r="EN86" s="263"/>
      <c r="EO86" s="263"/>
      <c r="EP86" s="263"/>
      <c r="EQ86" s="263"/>
      <c r="ER86" s="263"/>
      <c r="ES86" s="263"/>
      <c r="ET86" s="263"/>
      <c r="EU86" s="263"/>
      <c r="EV86" s="263"/>
      <c r="EW86" s="263"/>
      <c r="EX86" s="263"/>
      <c r="EY86" s="263"/>
      <c r="EZ86" s="263"/>
      <c r="FA86" s="263"/>
      <c r="FB86" s="263"/>
      <c r="FC86" s="263"/>
      <c r="FD86" s="263"/>
      <c r="FE86" s="263"/>
      <c r="FF86" s="263"/>
      <c r="FG86" s="263"/>
      <c r="FH86" s="263"/>
      <c r="FI86" s="263"/>
      <c r="FJ86" s="263"/>
      <c r="FK86" s="263"/>
      <c r="FL86" s="263"/>
      <c r="FM86" s="263"/>
      <c r="FN86" s="263"/>
      <c r="FO86" s="263"/>
      <c r="FP86" s="263"/>
      <c r="FQ86" s="263"/>
      <c r="FR86" s="263"/>
      <c r="FS86" s="263"/>
      <c r="FT86" s="263"/>
      <c r="FU86" s="263"/>
      <c r="FV86" s="263"/>
      <c r="FW86" s="263"/>
      <c r="FX86" s="263"/>
      <c r="FY86" s="263"/>
      <c r="FZ86" s="263"/>
      <c r="GA86" s="263"/>
      <c r="GB86" s="263"/>
      <c r="GC86" s="263"/>
      <c r="GD86" s="263"/>
      <c r="GE86" s="263"/>
      <c r="GF86" s="263"/>
      <c r="GG86" s="263"/>
      <c r="GH86" s="263"/>
      <c r="GI86" s="263"/>
      <c r="GJ86" s="263"/>
      <c r="GK86" s="263"/>
      <c r="GL86" s="263"/>
      <c r="GM86" s="263"/>
      <c r="GN86" s="263"/>
      <c r="GO86" s="263"/>
      <c r="GP86" s="263"/>
      <c r="GQ86" s="263"/>
      <c r="GR86" s="263"/>
      <c r="GS86" s="263"/>
      <c r="GT86" s="263"/>
      <c r="GU86" s="263"/>
      <c r="GV86" s="263"/>
      <c r="GW86" s="263"/>
      <c r="GX86" s="263"/>
      <c r="GY86" s="263"/>
      <c r="GZ86" s="263"/>
      <c r="HA86" s="263"/>
      <c r="HB86" s="263"/>
      <c r="HC86" s="263"/>
      <c r="HD86" s="263"/>
      <c r="HE86" s="263"/>
      <c r="HF86" s="263"/>
      <c r="HG86" s="263"/>
      <c r="HH86" s="263"/>
      <c r="HI86" s="263"/>
      <c r="HJ86" s="263"/>
      <c r="HK86" s="263"/>
      <c r="HL86" s="263"/>
      <c r="HM86" s="263"/>
      <c r="HN86" s="263"/>
      <c r="HO86" s="263"/>
      <c r="HP86" s="263"/>
      <c r="HQ86" s="263"/>
      <c r="HR86" s="263"/>
      <c r="HS86" s="263"/>
      <c r="HT86" s="263"/>
      <c r="HU86" s="263"/>
      <c r="HV86" s="263"/>
      <c r="HW86" s="263"/>
      <c r="HX86" s="263"/>
      <c r="HY86" s="263"/>
      <c r="HZ86" s="263"/>
      <c r="IA86" s="263"/>
      <c r="IB86" s="263"/>
      <c r="IC86" s="263"/>
      <c r="ID86" s="263"/>
      <c r="IE86" s="263"/>
      <c r="IF86" s="263"/>
      <c r="IG86" s="263"/>
      <c r="IH86" s="263"/>
      <c r="II86" s="263"/>
      <c r="IJ86" s="263"/>
      <c r="IK86" s="263"/>
      <c r="IL86" s="263"/>
      <c r="IM86" s="263"/>
      <c r="IN86" s="263"/>
      <c r="IO86" s="263"/>
      <c r="IP86" s="263"/>
      <c r="IQ86" s="263"/>
      <c r="IR86" s="263"/>
      <c r="IS86" s="263"/>
      <c r="IT86" s="263"/>
      <c r="IU86" s="263"/>
      <c r="IV86" s="263"/>
    </row>
    <row r="87" spans="1:256" s="281" customFormat="1" ht="15" hidden="1" customHeight="1" x14ac:dyDescent="0.3">
      <c r="A87" s="638">
        <v>27910299</v>
      </c>
      <c r="B87" s="638" t="s">
        <v>440</v>
      </c>
      <c r="C87" s="640">
        <v>4892.5</v>
      </c>
      <c r="D87" s="311"/>
      <c r="E87" s="305">
        <f>SUMIF(Adjustments!A:A,A87,Adjustments!C:C)</f>
        <v>0</v>
      </c>
      <c r="F87" s="278">
        <f t="shared" si="0"/>
        <v>4892.5</v>
      </c>
      <c r="G87" s="263" t="str">
        <f>VLOOKUP('Trial Balance'!$A87,'Code Allocation'!$A:$D,3,0)</f>
        <v>CRA</v>
      </c>
      <c r="H87" s="266" t="str">
        <f>VLOOKUP('Trial Balance'!$A87,'Code Allocation'!$A:$D,4,0)</f>
        <v>Buildings &amp; Cultural Activities</v>
      </c>
      <c r="I87" s="267" t="str">
        <f>VLOOKUP('Trial Balance'!$A87,'Code Allocation'!$A:$E,5,0)</f>
        <v>Supplies and Services</v>
      </c>
      <c r="J87" s="268" t="str">
        <f>VLOOKUP('Trial Balance'!$A87,'Code Allocation'!$A:$F,6,0)</f>
        <v>Dorchester Festival</v>
      </c>
      <c r="K87" s="263"/>
      <c r="L87" s="263"/>
      <c r="M87" s="263"/>
      <c r="N87" s="263"/>
      <c r="O87" s="263"/>
      <c r="P87" s="263"/>
      <c r="Q87" s="263"/>
      <c r="R87" s="263"/>
      <c r="S87" s="263"/>
      <c r="T87" s="263"/>
      <c r="U87" s="263"/>
      <c r="V87" s="263"/>
      <c r="W87" s="263"/>
      <c r="X87" s="263"/>
      <c r="Y87" s="263"/>
      <c r="Z87" s="263"/>
      <c r="AA87" s="263"/>
      <c r="AB87" s="263"/>
      <c r="AC87" s="263"/>
      <c r="AD87" s="263"/>
      <c r="AE87" s="263"/>
      <c r="AF87" s="263"/>
      <c r="AG87" s="263"/>
      <c r="AH87" s="263"/>
      <c r="AI87" s="263"/>
      <c r="AJ87" s="263"/>
      <c r="AK87" s="263"/>
      <c r="AL87" s="263"/>
      <c r="AM87" s="263"/>
      <c r="AN87" s="263"/>
      <c r="AO87" s="263"/>
      <c r="AP87" s="263"/>
      <c r="AQ87" s="263"/>
      <c r="AR87" s="263"/>
      <c r="AS87" s="263"/>
      <c r="AT87" s="263"/>
      <c r="AU87" s="263"/>
      <c r="AV87" s="263"/>
      <c r="AW87" s="263"/>
      <c r="AX87" s="263"/>
      <c r="AY87" s="263"/>
      <c r="AZ87" s="263"/>
      <c r="BA87" s="263"/>
      <c r="BB87" s="263"/>
      <c r="BC87" s="263"/>
      <c r="BD87" s="263"/>
      <c r="BE87" s="263"/>
      <c r="BF87" s="263"/>
      <c r="BG87" s="263"/>
      <c r="BH87" s="263"/>
      <c r="BI87" s="263"/>
      <c r="BJ87" s="263"/>
      <c r="BK87" s="263"/>
      <c r="BL87" s="263"/>
      <c r="BM87" s="263"/>
      <c r="BN87" s="263"/>
      <c r="BO87" s="263"/>
      <c r="BP87" s="263"/>
      <c r="BQ87" s="263"/>
      <c r="BR87" s="263"/>
      <c r="BS87" s="263"/>
      <c r="BT87" s="263"/>
      <c r="BU87" s="263"/>
      <c r="BV87" s="263"/>
      <c r="BW87" s="263"/>
      <c r="BX87" s="263"/>
      <c r="BY87" s="263"/>
      <c r="BZ87" s="263"/>
      <c r="CA87" s="263"/>
      <c r="CB87" s="263"/>
      <c r="CC87" s="263"/>
      <c r="CD87" s="263"/>
      <c r="CE87" s="263"/>
      <c r="CF87" s="263"/>
      <c r="CG87" s="263"/>
      <c r="CH87" s="263"/>
      <c r="CI87" s="263"/>
      <c r="CJ87" s="263"/>
      <c r="CK87" s="263"/>
      <c r="CL87" s="263"/>
      <c r="CM87" s="263"/>
      <c r="CN87" s="263"/>
      <c r="CO87" s="263"/>
      <c r="CP87" s="263"/>
      <c r="CQ87" s="263"/>
      <c r="CR87" s="263"/>
      <c r="CS87" s="263"/>
      <c r="CT87" s="263"/>
      <c r="CU87" s="263"/>
      <c r="CV87" s="263"/>
      <c r="CW87" s="263"/>
      <c r="CX87" s="263"/>
      <c r="CY87" s="263"/>
      <c r="CZ87" s="263"/>
      <c r="DA87" s="263"/>
      <c r="DB87" s="263"/>
      <c r="DC87" s="263"/>
      <c r="DD87" s="263"/>
      <c r="DE87" s="263"/>
      <c r="DF87" s="263"/>
      <c r="DG87" s="263"/>
      <c r="DH87" s="263"/>
      <c r="DI87" s="263"/>
      <c r="DJ87" s="263"/>
      <c r="DK87" s="263"/>
      <c r="DL87" s="263"/>
      <c r="DM87" s="263"/>
      <c r="DN87" s="263"/>
      <c r="DO87" s="263"/>
      <c r="DP87" s="263"/>
      <c r="DQ87" s="263"/>
      <c r="DR87" s="263"/>
      <c r="DS87" s="263"/>
      <c r="DT87" s="263"/>
      <c r="DU87" s="263"/>
      <c r="DV87" s="263"/>
      <c r="DW87" s="263"/>
      <c r="DX87" s="263"/>
      <c r="DY87" s="263"/>
      <c r="DZ87" s="263"/>
      <c r="EA87" s="263"/>
      <c r="EB87" s="263"/>
      <c r="EC87" s="263"/>
      <c r="ED87" s="263"/>
      <c r="EE87" s="263"/>
      <c r="EF87" s="263"/>
      <c r="EG87" s="263"/>
      <c r="EH87" s="263"/>
      <c r="EI87" s="263"/>
      <c r="EJ87" s="263"/>
      <c r="EK87" s="263"/>
      <c r="EL87" s="263"/>
      <c r="EM87" s="263"/>
      <c r="EN87" s="263"/>
      <c r="EO87" s="263"/>
      <c r="EP87" s="263"/>
      <c r="EQ87" s="263"/>
      <c r="ER87" s="263"/>
      <c r="ES87" s="263"/>
      <c r="ET87" s="263"/>
      <c r="EU87" s="263"/>
      <c r="EV87" s="263"/>
      <c r="EW87" s="263"/>
      <c r="EX87" s="263"/>
      <c r="EY87" s="263"/>
      <c r="EZ87" s="263"/>
      <c r="FA87" s="263"/>
      <c r="FB87" s="263"/>
      <c r="FC87" s="263"/>
      <c r="FD87" s="263"/>
      <c r="FE87" s="263"/>
      <c r="FF87" s="263"/>
      <c r="FG87" s="263"/>
      <c r="FH87" s="263"/>
      <c r="FI87" s="263"/>
      <c r="FJ87" s="263"/>
      <c r="FK87" s="263"/>
      <c r="FL87" s="263"/>
      <c r="FM87" s="263"/>
      <c r="FN87" s="263"/>
      <c r="FO87" s="263"/>
      <c r="FP87" s="263"/>
      <c r="FQ87" s="263"/>
      <c r="FR87" s="263"/>
      <c r="FS87" s="263"/>
      <c r="FT87" s="263"/>
      <c r="FU87" s="263"/>
      <c r="FV87" s="263"/>
      <c r="FW87" s="263"/>
      <c r="FX87" s="263"/>
      <c r="FY87" s="263"/>
      <c r="FZ87" s="263"/>
      <c r="GA87" s="263"/>
      <c r="GB87" s="263"/>
      <c r="GC87" s="263"/>
      <c r="GD87" s="263"/>
      <c r="GE87" s="263"/>
      <c r="GF87" s="263"/>
      <c r="GG87" s="263"/>
      <c r="GH87" s="263"/>
      <c r="GI87" s="263"/>
      <c r="GJ87" s="263"/>
      <c r="GK87" s="263"/>
      <c r="GL87" s="263"/>
      <c r="GM87" s="263"/>
      <c r="GN87" s="263"/>
      <c r="GO87" s="263"/>
      <c r="GP87" s="263"/>
      <c r="GQ87" s="263"/>
      <c r="GR87" s="263"/>
      <c r="GS87" s="263"/>
      <c r="GT87" s="263"/>
      <c r="GU87" s="263"/>
      <c r="GV87" s="263"/>
      <c r="GW87" s="263"/>
      <c r="GX87" s="263"/>
      <c r="GY87" s="263"/>
      <c r="GZ87" s="263"/>
      <c r="HA87" s="263"/>
      <c r="HB87" s="263"/>
      <c r="HC87" s="263"/>
      <c r="HD87" s="263"/>
      <c r="HE87" s="263"/>
      <c r="HF87" s="263"/>
      <c r="HG87" s="263"/>
      <c r="HH87" s="263"/>
      <c r="HI87" s="263"/>
      <c r="HJ87" s="263"/>
      <c r="HK87" s="263"/>
      <c r="HL87" s="263"/>
      <c r="HM87" s="263"/>
      <c r="HN87" s="263"/>
      <c r="HO87" s="263"/>
      <c r="HP87" s="263"/>
      <c r="HQ87" s="263"/>
      <c r="HR87" s="263"/>
      <c r="HS87" s="263"/>
      <c r="HT87" s="263"/>
      <c r="HU87" s="263"/>
      <c r="HV87" s="263"/>
      <c r="HW87" s="263"/>
      <c r="HX87" s="263"/>
      <c r="HY87" s="263"/>
      <c r="HZ87" s="263"/>
      <c r="IA87" s="263"/>
      <c r="IB87" s="263"/>
      <c r="IC87" s="263"/>
      <c r="ID87" s="263"/>
      <c r="IE87" s="263"/>
      <c r="IF87" s="263"/>
      <c r="IG87" s="263"/>
      <c r="IH87" s="263"/>
      <c r="II87" s="263"/>
      <c r="IJ87" s="263"/>
      <c r="IK87" s="263"/>
      <c r="IL87" s="263"/>
      <c r="IM87" s="263"/>
      <c r="IN87" s="263"/>
      <c r="IO87" s="263"/>
      <c r="IP87" s="263"/>
      <c r="IQ87" s="263"/>
      <c r="IR87" s="263"/>
      <c r="IS87" s="263"/>
      <c r="IT87" s="263"/>
      <c r="IU87" s="263"/>
      <c r="IV87" s="263"/>
    </row>
    <row r="88" spans="1:256" s="281" customFormat="1" ht="15" hidden="1" customHeight="1" x14ac:dyDescent="0.3">
      <c r="A88" s="638">
        <v>27960199</v>
      </c>
      <c r="B88" s="638" t="s">
        <v>441</v>
      </c>
      <c r="C88" s="640">
        <v>6561.85</v>
      </c>
      <c r="D88" s="311"/>
      <c r="E88" s="305">
        <f>SUMIF(Adjustments!A:A,A88,Adjustments!C:C)</f>
        <v>0</v>
      </c>
      <c r="F88" s="278">
        <f t="shared" si="0"/>
        <v>6561.85</v>
      </c>
      <c r="G88" s="263" t="str">
        <f>VLOOKUP('Trial Balance'!$A88,'Code Allocation'!$A:$D,3,0)</f>
        <v>CRA</v>
      </c>
      <c r="H88" s="266" t="str">
        <f>VLOOKUP('Trial Balance'!$A88,'Code Allocation'!$A:$D,4,0)</f>
        <v>Buildings &amp; Cultural Activities</v>
      </c>
      <c r="I88" s="267" t="str">
        <f>VLOOKUP('Trial Balance'!$A88,'Code Allocation'!$A:$E,5,0)</f>
        <v>Supplies and Services</v>
      </c>
      <c r="J88" s="268" t="str">
        <f>VLOOKUP('Trial Balance'!$A88,'Code Allocation'!$A:$F,6,0)</f>
        <v>Borough Gardens Events</v>
      </c>
      <c r="K88" s="263"/>
      <c r="L88" s="263"/>
      <c r="M88" s="263"/>
      <c r="N88" s="263"/>
      <c r="O88" s="263"/>
      <c r="P88" s="263"/>
      <c r="Q88" s="263"/>
      <c r="R88" s="263"/>
      <c r="S88" s="263"/>
      <c r="T88" s="263"/>
      <c r="U88" s="263"/>
      <c r="V88" s="263"/>
      <c r="W88" s="263"/>
      <c r="X88" s="263"/>
      <c r="Y88" s="263"/>
      <c r="Z88" s="263"/>
      <c r="AA88" s="263"/>
      <c r="AB88" s="263"/>
      <c r="AC88" s="263"/>
      <c r="AD88" s="263"/>
      <c r="AE88" s="263"/>
      <c r="AF88" s="263"/>
      <c r="AG88" s="263"/>
      <c r="AH88" s="263"/>
      <c r="AI88" s="263"/>
      <c r="AJ88" s="263"/>
      <c r="AK88" s="263"/>
      <c r="AL88" s="263"/>
      <c r="AM88" s="263"/>
      <c r="AN88" s="263"/>
      <c r="AO88" s="263"/>
      <c r="AP88" s="263"/>
      <c r="AQ88" s="263"/>
      <c r="AR88" s="263"/>
      <c r="AS88" s="263"/>
      <c r="AT88" s="263"/>
      <c r="AU88" s="263"/>
      <c r="AV88" s="263"/>
      <c r="AW88" s="263"/>
      <c r="AX88" s="263"/>
      <c r="AY88" s="263"/>
      <c r="AZ88" s="263"/>
      <c r="BA88" s="263"/>
      <c r="BB88" s="263"/>
      <c r="BC88" s="263"/>
      <c r="BD88" s="263"/>
      <c r="BE88" s="263"/>
      <c r="BF88" s="263"/>
      <c r="BG88" s="263"/>
      <c r="BH88" s="263"/>
      <c r="BI88" s="263"/>
      <c r="BJ88" s="263"/>
      <c r="BK88" s="263"/>
      <c r="BL88" s="263"/>
      <c r="BM88" s="263"/>
      <c r="BN88" s="263"/>
      <c r="BO88" s="263"/>
      <c r="BP88" s="263"/>
      <c r="BQ88" s="263"/>
      <c r="BR88" s="263"/>
      <c r="BS88" s="263"/>
      <c r="BT88" s="263"/>
      <c r="BU88" s="263"/>
      <c r="BV88" s="263"/>
      <c r="BW88" s="263"/>
      <c r="BX88" s="263"/>
      <c r="BY88" s="263"/>
      <c r="BZ88" s="263"/>
      <c r="CA88" s="263"/>
      <c r="CB88" s="263"/>
      <c r="CC88" s="263"/>
      <c r="CD88" s="263"/>
      <c r="CE88" s="263"/>
      <c r="CF88" s="263"/>
      <c r="CG88" s="263"/>
      <c r="CH88" s="263"/>
      <c r="CI88" s="263"/>
      <c r="CJ88" s="263"/>
      <c r="CK88" s="263"/>
      <c r="CL88" s="263"/>
      <c r="CM88" s="263"/>
      <c r="CN88" s="263"/>
      <c r="CO88" s="263"/>
      <c r="CP88" s="263"/>
      <c r="CQ88" s="263"/>
      <c r="CR88" s="263"/>
      <c r="CS88" s="263"/>
      <c r="CT88" s="263"/>
      <c r="CU88" s="263"/>
      <c r="CV88" s="263"/>
      <c r="CW88" s="263"/>
      <c r="CX88" s="263"/>
      <c r="CY88" s="263"/>
      <c r="CZ88" s="263"/>
      <c r="DA88" s="263"/>
      <c r="DB88" s="263"/>
      <c r="DC88" s="263"/>
      <c r="DD88" s="263"/>
      <c r="DE88" s="263"/>
      <c r="DF88" s="263"/>
      <c r="DG88" s="263"/>
      <c r="DH88" s="263"/>
      <c r="DI88" s="263"/>
      <c r="DJ88" s="263"/>
      <c r="DK88" s="263"/>
      <c r="DL88" s="263"/>
      <c r="DM88" s="263"/>
      <c r="DN88" s="263"/>
      <c r="DO88" s="263"/>
      <c r="DP88" s="263"/>
      <c r="DQ88" s="263"/>
      <c r="DR88" s="263"/>
      <c r="DS88" s="263"/>
      <c r="DT88" s="263"/>
      <c r="DU88" s="263"/>
      <c r="DV88" s="263"/>
      <c r="DW88" s="263"/>
      <c r="DX88" s="263"/>
      <c r="DY88" s="263"/>
      <c r="DZ88" s="263"/>
      <c r="EA88" s="263"/>
      <c r="EB88" s="263"/>
      <c r="EC88" s="263"/>
      <c r="ED88" s="263"/>
      <c r="EE88" s="263"/>
      <c r="EF88" s="263"/>
      <c r="EG88" s="263"/>
      <c r="EH88" s="263"/>
      <c r="EI88" s="263"/>
      <c r="EJ88" s="263"/>
      <c r="EK88" s="263"/>
      <c r="EL88" s="263"/>
      <c r="EM88" s="263"/>
      <c r="EN88" s="263"/>
      <c r="EO88" s="263"/>
      <c r="EP88" s="263"/>
      <c r="EQ88" s="263"/>
      <c r="ER88" s="263"/>
      <c r="ES88" s="263"/>
      <c r="ET88" s="263"/>
      <c r="EU88" s="263"/>
      <c r="EV88" s="263"/>
      <c r="EW88" s="263"/>
      <c r="EX88" s="263"/>
      <c r="EY88" s="263"/>
      <c r="EZ88" s="263"/>
      <c r="FA88" s="263"/>
      <c r="FB88" s="263"/>
      <c r="FC88" s="263"/>
      <c r="FD88" s="263"/>
      <c r="FE88" s="263"/>
      <c r="FF88" s="263"/>
      <c r="FG88" s="263"/>
      <c r="FH88" s="263"/>
      <c r="FI88" s="263"/>
      <c r="FJ88" s="263"/>
      <c r="FK88" s="263"/>
      <c r="FL88" s="263"/>
      <c r="FM88" s="263"/>
      <c r="FN88" s="263"/>
      <c r="FO88" s="263"/>
      <c r="FP88" s="263"/>
      <c r="FQ88" s="263"/>
      <c r="FR88" s="263"/>
      <c r="FS88" s="263"/>
      <c r="FT88" s="263"/>
      <c r="FU88" s="263"/>
      <c r="FV88" s="263"/>
      <c r="FW88" s="263"/>
      <c r="FX88" s="263"/>
      <c r="FY88" s="263"/>
      <c r="FZ88" s="263"/>
      <c r="GA88" s="263"/>
      <c r="GB88" s="263"/>
      <c r="GC88" s="263"/>
      <c r="GD88" s="263"/>
      <c r="GE88" s="263"/>
      <c r="GF88" s="263"/>
      <c r="GG88" s="263"/>
      <c r="GH88" s="263"/>
      <c r="GI88" s="263"/>
      <c r="GJ88" s="263"/>
      <c r="GK88" s="263"/>
      <c r="GL88" s="263"/>
      <c r="GM88" s="263"/>
      <c r="GN88" s="263"/>
      <c r="GO88" s="263"/>
      <c r="GP88" s="263"/>
      <c r="GQ88" s="263"/>
      <c r="GR88" s="263"/>
      <c r="GS88" s="263"/>
      <c r="GT88" s="263"/>
      <c r="GU88" s="263"/>
      <c r="GV88" s="263"/>
      <c r="GW88" s="263"/>
      <c r="GX88" s="263"/>
      <c r="GY88" s="263"/>
      <c r="GZ88" s="263"/>
      <c r="HA88" s="263"/>
      <c r="HB88" s="263"/>
      <c r="HC88" s="263"/>
      <c r="HD88" s="263"/>
      <c r="HE88" s="263"/>
      <c r="HF88" s="263"/>
      <c r="HG88" s="263"/>
      <c r="HH88" s="263"/>
      <c r="HI88" s="263"/>
      <c r="HJ88" s="263"/>
      <c r="HK88" s="263"/>
      <c r="HL88" s="263"/>
      <c r="HM88" s="263"/>
      <c r="HN88" s="263"/>
      <c r="HO88" s="263"/>
      <c r="HP88" s="263"/>
      <c r="HQ88" s="263"/>
      <c r="HR88" s="263"/>
      <c r="HS88" s="263"/>
      <c r="HT88" s="263"/>
      <c r="HU88" s="263"/>
      <c r="HV88" s="263"/>
      <c r="HW88" s="263"/>
      <c r="HX88" s="263"/>
      <c r="HY88" s="263"/>
      <c r="HZ88" s="263"/>
      <c r="IA88" s="263"/>
      <c r="IB88" s="263"/>
      <c r="IC88" s="263"/>
      <c r="ID88" s="263"/>
      <c r="IE88" s="263"/>
      <c r="IF88" s="263"/>
      <c r="IG88" s="263"/>
      <c r="IH88" s="263"/>
      <c r="II88" s="263"/>
      <c r="IJ88" s="263"/>
      <c r="IK88" s="263"/>
      <c r="IL88" s="263"/>
      <c r="IM88" s="263"/>
      <c r="IN88" s="263"/>
      <c r="IO88" s="263"/>
      <c r="IP88" s="263"/>
      <c r="IQ88" s="263"/>
      <c r="IR88" s="263"/>
      <c r="IS88" s="263"/>
      <c r="IT88" s="263"/>
      <c r="IU88" s="263"/>
      <c r="IV88" s="263"/>
    </row>
    <row r="89" spans="1:256" s="281" customFormat="1" ht="15" hidden="1" customHeight="1" x14ac:dyDescent="0.3">
      <c r="A89" s="638">
        <v>27990145</v>
      </c>
      <c r="B89" s="638" t="s">
        <v>442</v>
      </c>
      <c r="C89" s="311"/>
      <c r="D89" s="638">
        <v>150</v>
      </c>
      <c r="E89" s="305">
        <f>SUMIF(Adjustments!A:A,A89,Adjustments!C:C)</f>
        <v>0</v>
      </c>
      <c r="F89" s="278">
        <f t="shared" si="0"/>
        <v>-150</v>
      </c>
      <c r="G89" s="263" t="str">
        <f>VLOOKUP('Trial Balance'!$A89,'Code Allocation'!$A:$D,3,0)</f>
        <v>CRA</v>
      </c>
      <c r="H89" s="266" t="str">
        <f>VLOOKUP('Trial Balance'!$A89,'Code Allocation'!$A:$D,4,0)</f>
        <v>Buildings &amp; Cultural Activities</v>
      </c>
      <c r="I89" s="267" t="str">
        <f>VLOOKUP('Trial Balance'!$A89,'Code Allocation'!$A:$E,5,0)</f>
        <v>Supplies and Services</v>
      </c>
      <c r="J89" s="268" t="str">
        <f>VLOOKUP('Trial Balance'!$A89,'Code Allocation'!$A:$F,6,0)</f>
        <v>Borough Gardens Events</v>
      </c>
      <c r="K89" s="263"/>
      <c r="L89" s="263"/>
      <c r="M89" s="263"/>
      <c r="N89" s="263"/>
      <c r="O89" s="263"/>
      <c r="P89" s="263"/>
      <c r="Q89" s="263"/>
      <c r="R89" s="263"/>
      <c r="S89" s="263"/>
      <c r="T89" s="263"/>
      <c r="U89" s="263"/>
      <c r="V89" s="263"/>
      <c r="W89" s="263"/>
      <c r="X89" s="263"/>
      <c r="Y89" s="263"/>
      <c r="Z89" s="263"/>
      <c r="AA89" s="263"/>
      <c r="AB89" s="263"/>
      <c r="AC89" s="263"/>
      <c r="AD89" s="263"/>
      <c r="AE89" s="263"/>
      <c r="AF89" s="263"/>
      <c r="AG89" s="263"/>
      <c r="AH89" s="263"/>
      <c r="AI89" s="263"/>
      <c r="AJ89" s="263"/>
      <c r="AK89" s="263"/>
      <c r="AL89" s="263"/>
      <c r="AM89" s="263"/>
      <c r="AN89" s="263"/>
      <c r="AO89" s="263"/>
      <c r="AP89" s="263"/>
      <c r="AQ89" s="263"/>
      <c r="AR89" s="263"/>
      <c r="AS89" s="263"/>
      <c r="AT89" s="263"/>
      <c r="AU89" s="263"/>
      <c r="AV89" s="263"/>
      <c r="AW89" s="263"/>
      <c r="AX89" s="263"/>
      <c r="AY89" s="263"/>
      <c r="AZ89" s="263"/>
      <c r="BA89" s="263"/>
      <c r="BB89" s="263"/>
      <c r="BC89" s="263"/>
      <c r="BD89" s="263"/>
      <c r="BE89" s="263"/>
      <c r="BF89" s="263"/>
      <c r="BG89" s="263"/>
      <c r="BH89" s="263"/>
      <c r="BI89" s="263"/>
      <c r="BJ89" s="263"/>
      <c r="BK89" s="263"/>
      <c r="BL89" s="263"/>
      <c r="BM89" s="263"/>
      <c r="BN89" s="263"/>
      <c r="BO89" s="263"/>
      <c r="BP89" s="263"/>
      <c r="BQ89" s="263"/>
      <c r="BR89" s="263"/>
      <c r="BS89" s="263"/>
      <c r="BT89" s="263"/>
      <c r="BU89" s="263"/>
      <c r="BV89" s="263"/>
      <c r="BW89" s="263"/>
      <c r="BX89" s="263"/>
      <c r="BY89" s="263"/>
      <c r="BZ89" s="263"/>
      <c r="CA89" s="263"/>
      <c r="CB89" s="263"/>
      <c r="CC89" s="263"/>
      <c r="CD89" s="263"/>
      <c r="CE89" s="263"/>
      <c r="CF89" s="263"/>
      <c r="CG89" s="263"/>
      <c r="CH89" s="263"/>
      <c r="CI89" s="263"/>
      <c r="CJ89" s="263"/>
      <c r="CK89" s="263"/>
      <c r="CL89" s="263"/>
      <c r="CM89" s="263"/>
      <c r="CN89" s="263"/>
      <c r="CO89" s="263"/>
      <c r="CP89" s="263"/>
      <c r="CQ89" s="263"/>
      <c r="CR89" s="263"/>
      <c r="CS89" s="263"/>
      <c r="CT89" s="263"/>
      <c r="CU89" s="263"/>
      <c r="CV89" s="263"/>
      <c r="CW89" s="263"/>
      <c r="CX89" s="263"/>
      <c r="CY89" s="263"/>
      <c r="CZ89" s="263"/>
      <c r="DA89" s="263"/>
      <c r="DB89" s="263"/>
      <c r="DC89" s="263"/>
      <c r="DD89" s="263"/>
      <c r="DE89" s="263"/>
      <c r="DF89" s="263"/>
      <c r="DG89" s="263"/>
      <c r="DH89" s="263"/>
      <c r="DI89" s="263"/>
      <c r="DJ89" s="263"/>
      <c r="DK89" s="263"/>
      <c r="DL89" s="263"/>
      <c r="DM89" s="263"/>
      <c r="DN89" s="263"/>
      <c r="DO89" s="263"/>
      <c r="DP89" s="263"/>
      <c r="DQ89" s="263"/>
      <c r="DR89" s="263"/>
      <c r="DS89" s="263"/>
      <c r="DT89" s="263"/>
      <c r="DU89" s="263"/>
      <c r="DV89" s="263"/>
      <c r="DW89" s="263"/>
      <c r="DX89" s="263"/>
      <c r="DY89" s="263"/>
      <c r="DZ89" s="263"/>
      <c r="EA89" s="263"/>
      <c r="EB89" s="263"/>
      <c r="EC89" s="263"/>
      <c r="ED89" s="263"/>
      <c r="EE89" s="263"/>
      <c r="EF89" s="263"/>
      <c r="EG89" s="263"/>
      <c r="EH89" s="263"/>
      <c r="EI89" s="263"/>
      <c r="EJ89" s="263"/>
      <c r="EK89" s="263"/>
      <c r="EL89" s="263"/>
      <c r="EM89" s="263"/>
      <c r="EN89" s="263"/>
      <c r="EO89" s="263"/>
      <c r="EP89" s="263"/>
      <c r="EQ89" s="263"/>
      <c r="ER89" s="263"/>
      <c r="ES89" s="263"/>
      <c r="ET89" s="263"/>
      <c r="EU89" s="263"/>
      <c r="EV89" s="263"/>
      <c r="EW89" s="263"/>
      <c r="EX89" s="263"/>
      <c r="EY89" s="263"/>
      <c r="EZ89" s="263"/>
      <c r="FA89" s="263"/>
      <c r="FB89" s="263"/>
      <c r="FC89" s="263"/>
      <c r="FD89" s="263"/>
      <c r="FE89" s="263"/>
      <c r="FF89" s="263"/>
      <c r="FG89" s="263"/>
      <c r="FH89" s="263"/>
      <c r="FI89" s="263"/>
      <c r="FJ89" s="263"/>
      <c r="FK89" s="263"/>
      <c r="FL89" s="263"/>
      <c r="FM89" s="263"/>
      <c r="FN89" s="263"/>
      <c r="FO89" s="263"/>
      <c r="FP89" s="263"/>
      <c r="FQ89" s="263"/>
      <c r="FR89" s="263"/>
      <c r="FS89" s="263"/>
      <c r="FT89" s="263"/>
      <c r="FU89" s="263"/>
      <c r="FV89" s="263"/>
      <c r="FW89" s="263"/>
      <c r="FX89" s="263"/>
      <c r="FY89" s="263"/>
      <c r="FZ89" s="263"/>
      <c r="GA89" s="263"/>
      <c r="GB89" s="263"/>
      <c r="GC89" s="263"/>
      <c r="GD89" s="263"/>
      <c r="GE89" s="263"/>
      <c r="GF89" s="263"/>
      <c r="GG89" s="263"/>
      <c r="GH89" s="263"/>
      <c r="GI89" s="263"/>
      <c r="GJ89" s="263"/>
      <c r="GK89" s="263"/>
      <c r="GL89" s="263"/>
      <c r="GM89" s="263"/>
      <c r="GN89" s="263"/>
      <c r="GO89" s="263"/>
      <c r="GP89" s="263"/>
      <c r="GQ89" s="263"/>
      <c r="GR89" s="263"/>
      <c r="GS89" s="263"/>
      <c r="GT89" s="263"/>
      <c r="GU89" s="263"/>
      <c r="GV89" s="263"/>
      <c r="GW89" s="263"/>
      <c r="GX89" s="263"/>
      <c r="GY89" s="263"/>
      <c r="GZ89" s="263"/>
      <c r="HA89" s="263"/>
      <c r="HB89" s="263"/>
      <c r="HC89" s="263"/>
      <c r="HD89" s="263"/>
      <c r="HE89" s="263"/>
      <c r="HF89" s="263"/>
      <c r="HG89" s="263"/>
      <c r="HH89" s="263"/>
      <c r="HI89" s="263"/>
      <c r="HJ89" s="263"/>
      <c r="HK89" s="263"/>
      <c r="HL89" s="263"/>
      <c r="HM89" s="263"/>
      <c r="HN89" s="263"/>
      <c r="HO89" s="263"/>
      <c r="HP89" s="263"/>
      <c r="HQ89" s="263"/>
      <c r="HR89" s="263"/>
      <c r="HS89" s="263"/>
      <c r="HT89" s="263"/>
      <c r="HU89" s="263"/>
      <c r="HV89" s="263"/>
      <c r="HW89" s="263"/>
      <c r="HX89" s="263"/>
      <c r="HY89" s="263"/>
      <c r="HZ89" s="263"/>
      <c r="IA89" s="263"/>
      <c r="IB89" s="263"/>
      <c r="IC89" s="263"/>
      <c r="ID89" s="263"/>
      <c r="IE89" s="263"/>
      <c r="IF89" s="263"/>
      <c r="IG89" s="263"/>
      <c r="IH89" s="263"/>
      <c r="II89" s="263"/>
      <c r="IJ89" s="263"/>
      <c r="IK89" s="263"/>
      <c r="IL89" s="263"/>
      <c r="IM89" s="263"/>
      <c r="IN89" s="263"/>
      <c r="IO89" s="263"/>
      <c r="IP89" s="263"/>
      <c r="IQ89" s="263"/>
      <c r="IR89" s="263"/>
      <c r="IS89" s="263"/>
      <c r="IT89" s="263"/>
      <c r="IU89" s="263"/>
      <c r="IV89" s="263"/>
    </row>
    <row r="90" spans="1:256" s="281" customFormat="1" ht="15" hidden="1" customHeight="1" x14ac:dyDescent="0.3">
      <c r="A90" s="638">
        <v>28150199</v>
      </c>
      <c r="B90" s="638" t="s">
        <v>443</v>
      </c>
      <c r="C90" s="638">
        <v>930</v>
      </c>
      <c r="D90" s="311"/>
      <c r="E90" s="305">
        <f>SUMIF(Adjustments!A:A,A90,Adjustments!C:C)</f>
        <v>0</v>
      </c>
      <c r="F90" s="278">
        <f t="shared" si="0"/>
        <v>930</v>
      </c>
      <c r="G90" s="263" t="str">
        <f>VLOOKUP('Trial Balance'!$A90,'Code Allocation'!$A:$D,3,0)</f>
        <v>CRA</v>
      </c>
      <c r="H90" s="266" t="str">
        <f>VLOOKUP('Trial Balance'!$A90,'Code Allocation'!$A:$D,4,0)</f>
        <v>Buildings &amp; Cultural Activities</v>
      </c>
      <c r="I90" s="267" t="str">
        <f>VLOOKUP('Trial Balance'!$A90,'Code Allocation'!$A:$E,5,0)</f>
        <v>Supplies and Services</v>
      </c>
      <c r="J90" s="268" t="str">
        <f>VLOOKUP('Trial Balance'!$A90,'Code Allocation'!$A:$F,6,0)</f>
        <v>Promotion, Advertising &amp; Stationery</v>
      </c>
      <c r="K90" s="263"/>
      <c r="L90" s="263"/>
      <c r="M90" s="263"/>
      <c r="N90" s="263"/>
      <c r="O90" s="263"/>
      <c r="P90" s="263"/>
      <c r="Q90" s="263"/>
      <c r="R90" s="263"/>
      <c r="S90" s="263"/>
      <c r="T90" s="263"/>
      <c r="U90" s="263"/>
      <c r="V90" s="263"/>
      <c r="W90" s="263"/>
      <c r="X90" s="263"/>
      <c r="Y90" s="263"/>
      <c r="Z90" s="263"/>
      <c r="AA90" s="263"/>
      <c r="AB90" s="263"/>
      <c r="AC90" s="263"/>
      <c r="AD90" s="263"/>
      <c r="AE90" s="263"/>
      <c r="AF90" s="263"/>
      <c r="AG90" s="263"/>
      <c r="AH90" s="263"/>
      <c r="AI90" s="263"/>
      <c r="AJ90" s="263"/>
      <c r="AK90" s="263"/>
      <c r="AL90" s="263"/>
      <c r="AM90" s="263"/>
      <c r="AN90" s="263"/>
      <c r="AO90" s="263"/>
      <c r="AP90" s="263"/>
      <c r="AQ90" s="263"/>
      <c r="AR90" s="263"/>
      <c r="AS90" s="263"/>
      <c r="AT90" s="263"/>
      <c r="AU90" s="263"/>
      <c r="AV90" s="263"/>
      <c r="AW90" s="263"/>
      <c r="AX90" s="263"/>
      <c r="AY90" s="263"/>
      <c r="AZ90" s="263"/>
      <c r="BA90" s="263"/>
      <c r="BB90" s="263"/>
      <c r="BC90" s="263"/>
      <c r="BD90" s="263"/>
      <c r="BE90" s="263"/>
      <c r="BF90" s="263"/>
      <c r="BG90" s="263"/>
      <c r="BH90" s="263"/>
      <c r="BI90" s="263"/>
      <c r="BJ90" s="263"/>
      <c r="BK90" s="263"/>
      <c r="BL90" s="263"/>
      <c r="BM90" s="263"/>
      <c r="BN90" s="263"/>
      <c r="BO90" s="263"/>
      <c r="BP90" s="263"/>
      <c r="BQ90" s="263"/>
      <c r="BR90" s="263"/>
      <c r="BS90" s="263"/>
      <c r="BT90" s="263"/>
      <c r="BU90" s="263"/>
      <c r="BV90" s="263"/>
      <c r="BW90" s="263"/>
      <c r="BX90" s="263"/>
      <c r="BY90" s="263"/>
      <c r="BZ90" s="263"/>
      <c r="CA90" s="263"/>
      <c r="CB90" s="263"/>
      <c r="CC90" s="263"/>
      <c r="CD90" s="263"/>
      <c r="CE90" s="263"/>
      <c r="CF90" s="263"/>
      <c r="CG90" s="263"/>
      <c r="CH90" s="263"/>
      <c r="CI90" s="263"/>
      <c r="CJ90" s="263"/>
      <c r="CK90" s="263"/>
      <c r="CL90" s="263"/>
      <c r="CM90" s="263"/>
      <c r="CN90" s="263"/>
      <c r="CO90" s="263"/>
      <c r="CP90" s="263"/>
      <c r="CQ90" s="263"/>
      <c r="CR90" s="263"/>
      <c r="CS90" s="263"/>
      <c r="CT90" s="263"/>
      <c r="CU90" s="263"/>
      <c r="CV90" s="263"/>
      <c r="CW90" s="263"/>
      <c r="CX90" s="263"/>
      <c r="CY90" s="263"/>
      <c r="CZ90" s="263"/>
      <c r="DA90" s="263"/>
      <c r="DB90" s="263"/>
      <c r="DC90" s="263"/>
      <c r="DD90" s="263"/>
      <c r="DE90" s="263"/>
      <c r="DF90" s="263"/>
      <c r="DG90" s="263"/>
      <c r="DH90" s="263"/>
      <c r="DI90" s="263"/>
      <c r="DJ90" s="263"/>
      <c r="DK90" s="263"/>
      <c r="DL90" s="263"/>
      <c r="DM90" s="263"/>
      <c r="DN90" s="263"/>
      <c r="DO90" s="263"/>
      <c r="DP90" s="263"/>
      <c r="DQ90" s="263"/>
      <c r="DR90" s="263"/>
      <c r="DS90" s="263"/>
      <c r="DT90" s="263"/>
      <c r="DU90" s="263"/>
      <c r="DV90" s="263"/>
      <c r="DW90" s="263"/>
      <c r="DX90" s="263"/>
      <c r="DY90" s="263"/>
      <c r="DZ90" s="263"/>
      <c r="EA90" s="263"/>
      <c r="EB90" s="263"/>
      <c r="EC90" s="263"/>
      <c r="ED90" s="263"/>
      <c r="EE90" s="263"/>
      <c r="EF90" s="263"/>
      <c r="EG90" s="263"/>
      <c r="EH90" s="263"/>
      <c r="EI90" s="263"/>
      <c r="EJ90" s="263"/>
      <c r="EK90" s="263"/>
      <c r="EL90" s="263"/>
      <c r="EM90" s="263"/>
      <c r="EN90" s="263"/>
      <c r="EO90" s="263"/>
      <c r="EP90" s="263"/>
      <c r="EQ90" s="263"/>
      <c r="ER90" s="263"/>
      <c r="ES90" s="263"/>
      <c r="ET90" s="263"/>
      <c r="EU90" s="263"/>
      <c r="EV90" s="263"/>
      <c r="EW90" s="263"/>
      <c r="EX90" s="263"/>
      <c r="EY90" s="263"/>
      <c r="EZ90" s="263"/>
      <c r="FA90" s="263"/>
      <c r="FB90" s="263"/>
      <c r="FC90" s="263"/>
      <c r="FD90" s="263"/>
      <c r="FE90" s="263"/>
      <c r="FF90" s="263"/>
      <c r="FG90" s="263"/>
      <c r="FH90" s="263"/>
      <c r="FI90" s="263"/>
      <c r="FJ90" s="263"/>
      <c r="FK90" s="263"/>
      <c r="FL90" s="263"/>
      <c r="FM90" s="263"/>
      <c r="FN90" s="263"/>
      <c r="FO90" s="263"/>
      <c r="FP90" s="263"/>
      <c r="FQ90" s="263"/>
      <c r="FR90" s="263"/>
      <c r="FS90" s="263"/>
      <c r="FT90" s="263"/>
      <c r="FU90" s="263"/>
      <c r="FV90" s="263"/>
      <c r="FW90" s="263"/>
      <c r="FX90" s="263"/>
      <c r="FY90" s="263"/>
      <c r="FZ90" s="263"/>
      <c r="GA90" s="263"/>
      <c r="GB90" s="263"/>
      <c r="GC90" s="263"/>
      <c r="GD90" s="263"/>
      <c r="GE90" s="263"/>
      <c r="GF90" s="263"/>
      <c r="GG90" s="263"/>
      <c r="GH90" s="263"/>
      <c r="GI90" s="263"/>
      <c r="GJ90" s="263"/>
      <c r="GK90" s="263"/>
      <c r="GL90" s="263"/>
      <c r="GM90" s="263"/>
      <c r="GN90" s="263"/>
      <c r="GO90" s="263"/>
      <c r="GP90" s="263"/>
      <c r="GQ90" s="263"/>
      <c r="GR90" s="263"/>
      <c r="GS90" s="263"/>
      <c r="GT90" s="263"/>
      <c r="GU90" s="263"/>
      <c r="GV90" s="263"/>
      <c r="GW90" s="263"/>
      <c r="GX90" s="263"/>
      <c r="GY90" s="263"/>
      <c r="GZ90" s="263"/>
      <c r="HA90" s="263"/>
      <c r="HB90" s="263"/>
      <c r="HC90" s="263"/>
      <c r="HD90" s="263"/>
      <c r="HE90" s="263"/>
      <c r="HF90" s="263"/>
      <c r="HG90" s="263"/>
      <c r="HH90" s="263"/>
      <c r="HI90" s="263"/>
      <c r="HJ90" s="263"/>
      <c r="HK90" s="263"/>
      <c r="HL90" s="263"/>
      <c r="HM90" s="263"/>
      <c r="HN90" s="263"/>
      <c r="HO90" s="263"/>
      <c r="HP90" s="263"/>
      <c r="HQ90" s="263"/>
      <c r="HR90" s="263"/>
      <c r="HS90" s="263"/>
      <c r="HT90" s="263"/>
      <c r="HU90" s="263"/>
      <c r="HV90" s="263"/>
      <c r="HW90" s="263"/>
      <c r="HX90" s="263"/>
      <c r="HY90" s="263"/>
      <c r="HZ90" s="263"/>
      <c r="IA90" s="263"/>
      <c r="IB90" s="263"/>
      <c r="IC90" s="263"/>
      <c r="ID90" s="263"/>
      <c r="IE90" s="263"/>
      <c r="IF90" s="263"/>
      <c r="IG90" s="263"/>
      <c r="IH90" s="263"/>
      <c r="II90" s="263"/>
      <c r="IJ90" s="263"/>
      <c r="IK90" s="263"/>
      <c r="IL90" s="263"/>
      <c r="IM90" s="263"/>
      <c r="IN90" s="263"/>
      <c r="IO90" s="263"/>
      <c r="IP90" s="263"/>
      <c r="IQ90" s="263"/>
      <c r="IR90" s="263"/>
      <c r="IS90" s="263"/>
      <c r="IT90" s="263"/>
      <c r="IU90" s="263"/>
      <c r="IV90" s="263"/>
    </row>
    <row r="91" spans="1:256" s="281" customFormat="1" ht="15" hidden="1" customHeight="1" x14ac:dyDescent="0.3">
      <c r="A91" s="638">
        <v>28600204</v>
      </c>
      <c r="B91" s="638" t="s">
        <v>444</v>
      </c>
      <c r="C91" s="640">
        <v>2078</v>
      </c>
      <c r="D91" s="311"/>
      <c r="E91" s="305">
        <f>SUMIF(Adjustments!A:A,A91,Adjustments!C:C)</f>
        <v>0</v>
      </c>
      <c r="F91" s="278">
        <f t="shared" si="0"/>
        <v>2078</v>
      </c>
      <c r="G91" s="263" t="str">
        <f>VLOOKUP('Trial Balance'!$A91,'Code Allocation'!$A:$D,3,0)</f>
        <v>CRA</v>
      </c>
      <c r="H91" s="266" t="str">
        <f>VLOOKUP('Trial Balance'!$A91,'Code Allocation'!$A:$D,4,0)</f>
        <v>Buildings &amp; Cultural Activities</v>
      </c>
      <c r="I91" s="267" t="str">
        <f>VLOOKUP('Trial Balance'!$A91,'Code Allocation'!$A:$E,5,0)</f>
        <v>Capital Expenditure</v>
      </c>
      <c r="J91" s="268" t="str">
        <f>VLOOKUP('Trial Balance'!$A91,'Code Allocation'!$A:$F,6,0)</f>
        <v>Capital Expenditure - Lift</v>
      </c>
      <c r="K91" s="263"/>
      <c r="L91" s="263"/>
      <c r="M91" s="263"/>
      <c r="N91" s="263"/>
      <c r="O91" s="263"/>
      <c r="P91" s="263"/>
      <c r="Q91" s="263"/>
      <c r="R91" s="263"/>
      <c r="S91" s="263"/>
      <c r="T91" s="263"/>
      <c r="U91" s="263"/>
      <c r="V91" s="263"/>
      <c r="W91" s="263"/>
      <c r="X91" s="263"/>
      <c r="Y91" s="263"/>
      <c r="Z91" s="263"/>
      <c r="AA91" s="263"/>
      <c r="AB91" s="263"/>
      <c r="AC91" s="263"/>
      <c r="AD91" s="263"/>
      <c r="AE91" s="263"/>
      <c r="AF91" s="263"/>
      <c r="AG91" s="263"/>
      <c r="AH91" s="263"/>
      <c r="AI91" s="263"/>
      <c r="AJ91" s="263"/>
      <c r="AK91" s="263"/>
      <c r="AL91" s="263"/>
      <c r="AM91" s="263"/>
      <c r="AN91" s="263"/>
      <c r="AO91" s="263"/>
      <c r="AP91" s="263"/>
      <c r="AQ91" s="263"/>
      <c r="AR91" s="263"/>
      <c r="AS91" s="263"/>
      <c r="AT91" s="263"/>
      <c r="AU91" s="263"/>
      <c r="AV91" s="263"/>
      <c r="AW91" s="263"/>
      <c r="AX91" s="263"/>
      <c r="AY91" s="263"/>
      <c r="AZ91" s="263"/>
      <c r="BA91" s="263"/>
      <c r="BB91" s="263"/>
      <c r="BC91" s="263"/>
      <c r="BD91" s="263"/>
      <c r="BE91" s="263"/>
      <c r="BF91" s="263"/>
      <c r="BG91" s="263"/>
      <c r="BH91" s="263"/>
      <c r="BI91" s="263"/>
      <c r="BJ91" s="263"/>
      <c r="BK91" s="263"/>
      <c r="BL91" s="263"/>
      <c r="BM91" s="263"/>
      <c r="BN91" s="263"/>
      <c r="BO91" s="263"/>
      <c r="BP91" s="263"/>
      <c r="BQ91" s="263"/>
      <c r="BR91" s="263"/>
      <c r="BS91" s="263"/>
      <c r="BT91" s="263"/>
      <c r="BU91" s="263"/>
      <c r="BV91" s="263"/>
      <c r="BW91" s="263"/>
      <c r="BX91" s="263"/>
      <c r="BY91" s="263"/>
      <c r="BZ91" s="263"/>
      <c r="CA91" s="263"/>
      <c r="CB91" s="263"/>
      <c r="CC91" s="263"/>
      <c r="CD91" s="263"/>
      <c r="CE91" s="263"/>
      <c r="CF91" s="263"/>
      <c r="CG91" s="263"/>
      <c r="CH91" s="263"/>
      <c r="CI91" s="263"/>
      <c r="CJ91" s="263"/>
      <c r="CK91" s="263"/>
      <c r="CL91" s="263"/>
      <c r="CM91" s="263"/>
      <c r="CN91" s="263"/>
      <c r="CO91" s="263"/>
      <c r="CP91" s="263"/>
      <c r="CQ91" s="263"/>
      <c r="CR91" s="263"/>
      <c r="CS91" s="263"/>
      <c r="CT91" s="263"/>
      <c r="CU91" s="263"/>
      <c r="CV91" s="263"/>
      <c r="CW91" s="263"/>
      <c r="CX91" s="263"/>
      <c r="CY91" s="263"/>
      <c r="CZ91" s="263"/>
      <c r="DA91" s="263"/>
      <c r="DB91" s="263"/>
      <c r="DC91" s="263"/>
      <c r="DD91" s="263"/>
      <c r="DE91" s="263"/>
      <c r="DF91" s="263"/>
      <c r="DG91" s="263"/>
      <c r="DH91" s="263"/>
      <c r="DI91" s="263"/>
      <c r="DJ91" s="263"/>
      <c r="DK91" s="263"/>
      <c r="DL91" s="263"/>
      <c r="DM91" s="263"/>
      <c r="DN91" s="263"/>
      <c r="DO91" s="263"/>
      <c r="DP91" s="263"/>
      <c r="DQ91" s="263"/>
      <c r="DR91" s="263"/>
      <c r="DS91" s="263"/>
      <c r="DT91" s="263"/>
      <c r="DU91" s="263"/>
      <c r="DV91" s="263"/>
      <c r="DW91" s="263"/>
      <c r="DX91" s="263"/>
      <c r="DY91" s="263"/>
      <c r="DZ91" s="263"/>
      <c r="EA91" s="263"/>
      <c r="EB91" s="263"/>
      <c r="EC91" s="263"/>
      <c r="ED91" s="263"/>
      <c r="EE91" s="263"/>
      <c r="EF91" s="263"/>
      <c r="EG91" s="263"/>
      <c r="EH91" s="263"/>
      <c r="EI91" s="263"/>
      <c r="EJ91" s="263"/>
      <c r="EK91" s="263"/>
      <c r="EL91" s="263"/>
      <c r="EM91" s="263"/>
      <c r="EN91" s="263"/>
      <c r="EO91" s="263"/>
      <c r="EP91" s="263"/>
      <c r="EQ91" s="263"/>
      <c r="ER91" s="263"/>
      <c r="ES91" s="263"/>
      <c r="ET91" s="263"/>
      <c r="EU91" s="263"/>
      <c r="EV91" s="263"/>
      <c r="EW91" s="263"/>
      <c r="EX91" s="263"/>
      <c r="EY91" s="263"/>
      <c r="EZ91" s="263"/>
      <c r="FA91" s="263"/>
      <c r="FB91" s="263"/>
      <c r="FC91" s="263"/>
      <c r="FD91" s="263"/>
      <c r="FE91" s="263"/>
      <c r="FF91" s="263"/>
      <c r="FG91" s="263"/>
      <c r="FH91" s="263"/>
      <c r="FI91" s="263"/>
      <c r="FJ91" s="263"/>
      <c r="FK91" s="263"/>
      <c r="FL91" s="263"/>
      <c r="FM91" s="263"/>
      <c r="FN91" s="263"/>
      <c r="FO91" s="263"/>
      <c r="FP91" s="263"/>
      <c r="FQ91" s="263"/>
      <c r="FR91" s="263"/>
      <c r="FS91" s="263"/>
      <c r="FT91" s="263"/>
      <c r="FU91" s="263"/>
      <c r="FV91" s="263"/>
      <c r="FW91" s="263"/>
      <c r="FX91" s="263"/>
      <c r="FY91" s="263"/>
      <c r="FZ91" s="263"/>
      <c r="GA91" s="263"/>
      <c r="GB91" s="263"/>
      <c r="GC91" s="263"/>
      <c r="GD91" s="263"/>
      <c r="GE91" s="263"/>
      <c r="GF91" s="263"/>
      <c r="GG91" s="263"/>
      <c r="GH91" s="263"/>
      <c r="GI91" s="263"/>
      <c r="GJ91" s="263"/>
      <c r="GK91" s="263"/>
      <c r="GL91" s="263"/>
      <c r="GM91" s="263"/>
      <c r="GN91" s="263"/>
      <c r="GO91" s="263"/>
      <c r="GP91" s="263"/>
      <c r="GQ91" s="263"/>
      <c r="GR91" s="263"/>
      <c r="GS91" s="263"/>
      <c r="GT91" s="263"/>
      <c r="GU91" s="263"/>
      <c r="GV91" s="263"/>
      <c r="GW91" s="263"/>
      <c r="GX91" s="263"/>
      <c r="GY91" s="263"/>
      <c r="GZ91" s="263"/>
      <c r="HA91" s="263"/>
      <c r="HB91" s="263"/>
      <c r="HC91" s="263"/>
      <c r="HD91" s="263"/>
      <c r="HE91" s="263"/>
      <c r="HF91" s="263"/>
      <c r="HG91" s="263"/>
      <c r="HH91" s="263"/>
      <c r="HI91" s="263"/>
      <c r="HJ91" s="263"/>
      <c r="HK91" s="263"/>
      <c r="HL91" s="263"/>
      <c r="HM91" s="263"/>
      <c r="HN91" s="263"/>
      <c r="HO91" s="263"/>
      <c r="HP91" s="263"/>
      <c r="HQ91" s="263"/>
      <c r="HR91" s="263"/>
      <c r="HS91" s="263"/>
      <c r="HT91" s="263"/>
      <c r="HU91" s="263"/>
      <c r="HV91" s="263"/>
      <c r="HW91" s="263"/>
      <c r="HX91" s="263"/>
      <c r="HY91" s="263"/>
      <c r="HZ91" s="263"/>
      <c r="IA91" s="263"/>
      <c r="IB91" s="263"/>
      <c r="IC91" s="263"/>
      <c r="ID91" s="263"/>
      <c r="IE91" s="263"/>
      <c r="IF91" s="263"/>
      <c r="IG91" s="263"/>
      <c r="IH91" s="263"/>
      <c r="II91" s="263"/>
      <c r="IJ91" s="263"/>
      <c r="IK91" s="263"/>
      <c r="IL91" s="263"/>
      <c r="IM91" s="263"/>
      <c r="IN91" s="263"/>
      <c r="IO91" s="263"/>
      <c r="IP91" s="263"/>
      <c r="IQ91" s="263"/>
      <c r="IR91" s="263"/>
      <c r="IS91" s="263"/>
      <c r="IT91" s="263"/>
      <c r="IU91" s="263"/>
      <c r="IV91" s="263"/>
    </row>
    <row r="92" spans="1:256" s="281" customFormat="1" ht="15" customHeight="1" x14ac:dyDescent="0.3">
      <c r="A92" s="638">
        <v>34000120</v>
      </c>
      <c r="B92" s="638" t="s">
        <v>445</v>
      </c>
      <c r="C92" s="311"/>
      <c r="D92" s="640">
        <v>3784.84</v>
      </c>
      <c r="E92" s="305">
        <f>SUMIF(Adjustments!A:A,A92,Adjustments!C:C)</f>
        <v>0</v>
      </c>
      <c r="F92" s="278">
        <f t="shared" si="0"/>
        <v>-3784.84</v>
      </c>
      <c r="G92" s="263" t="str">
        <f>VLOOKUP('Trial Balance'!$A92,'Code Allocation'!$A:$D,3,0)</f>
        <v>CRA</v>
      </c>
      <c r="H92" s="266" t="str">
        <f>VLOOKUP('Trial Balance'!$A92,'Code Allocation'!$A:$D,4,0)</f>
        <v>Parks, gardens &amp; open Spaces</v>
      </c>
      <c r="I92" s="267" t="str">
        <f>VLOOKUP('Trial Balance'!$A92,'Code Allocation'!$A:$E,5,0)</f>
        <v>Customer &amp; Client Receipts</v>
      </c>
      <c r="J92" s="268" t="str">
        <f>VLOOKUP('Trial Balance'!$A92,'Code Allocation'!$A:$F,6,0)</f>
        <v>Tennis</v>
      </c>
      <c r="K92" s="263"/>
      <c r="L92" s="263"/>
      <c r="M92" s="263"/>
      <c r="N92" s="263"/>
      <c r="O92" s="263"/>
      <c r="P92" s="263"/>
      <c r="Q92" s="263"/>
      <c r="R92" s="263"/>
      <c r="S92" s="263"/>
      <c r="T92" s="263"/>
      <c r="U92" s="263"/>
      <c r="V92" s="263"/>
      <c r="W92" s="263"/>
      <c r="X92" s="263"/>
      <c r="Y92" s="263"/>
      <c r="Z92" s="263"/>
      <c r="AA92" s="263"/>
      <c r="AB92" s="263"/>
      <c r="AC92" s="263"/>
      <c r="AD92" s="263"/>
      <c r="AE92" s="263"/>
      <c r="AF92" s="263"/>
      <c r="AG92" s="263"/>
      <c r="AH92" s="263"/>
      <c r="AI92" s="263"/>
      <c r="AJ92" s="263"/>
      <c r="AK92" s="263"/>
      <c r="AL92" s="263"/>
      <c r="AM92" s="263"/>
      <c r="AN92" s="263"/>
      <c r="AO92" s="263"/>
      <c r="AP92" s="263"/>
      <c r="AQ92" s="263"/>
      <c r="AR92" s="263"/>
      <c r="AS92" s="263"/>
      <c r="AT92" s="263"/>
      <c r="AU92" s="263"/>
      <c r="AV92" s="263"/>
      <c r="AW92" s="263"/>
      <c r="AX92" s="263"/>
      <c r="AY92" s="263"/>
      <c r="AZ92" s="263"/>
      <c r="BA92" s="263"/>
      <c r="BB92" s="263"/>
      <c r="BC92" s="263"/>
      <c r="BD92" s="263"/>
      <c r="BE92" s="263"/>
      <c r="BF92" s="263"/>
      <c r="BG92" s="263"/>
      <c r="BH92" s="263"/>
      <c r="BI92" s="263"/>
      <c r="BJ92" s="263"/>
      <c r="BK92" s="263"/>
      <c r="BL92" s="263"/>
      <c r="BM92" s="263"/>
      <c r="BN92" s="263"/>
      <c r="BO92" s="263"/>
      <c r="BP92" s="263"/>
      <c r="BQ92" s="263"/>
      <c r="BR92" s="263"/>
      <c r="BS92" s="263"/>
      <c r="BT92" s="263"/>
      <c r="BU92" s="263"/>
      <c r="BV92" s="263"/>
      <c r="BW92" s="263"/>
      <c r="BX92" s="263"/>
      <c r="BY92" s="263"/>
      <c r="BZ92" s="263"/>
      <c r="CA92" s="263"/>
      <c r="CB92" s="263"/>
      <c r="CC92" s="263"/>
      <c r="CD92" s="263"/>
      <c r="CE92" s="263"/>
      <c r="CF92" s="263"/>
      <c r="CG92" s="263"/>
      <c r="CH92" s="263"/>
      <c r="CI92" s="263"/>
      <c r="CJ92" s="263"/>
      <c r="CK92" s="263"/>
      <c r="CL92" s="263"/>
      <c r="CM92" s="263"/>
      <c r="CN92" s="263"/>
      <c r="CO92" s="263"/>
      <c r="CP92" s="263"/>
      <c r="CQ92" s="263"/>
      <c r="CR92" s="263"/>
      <c r="CS92" s="263"/>
      <c r="CT92" s="263"/>
      <c r="CU92" s="263"/>
      <c r="CV92" s="263"/>
      <c r="CW92" s="263"/>
      <c r="CX92" s="263"/>
      <c r="CY92" s="263"/>
      <c r="CZ92" s="263"/>
      <c r="DA92" s="263"/>
      <c r="DB92" s="263"/>
      <c r="DC92" s="263"/>
      <c r="DD92" s="263"/>
      <c r="DE92" s="263"/>
      <c r="DF92" s="263"/>
      <c r="DG92" s="263"/>
      <c r="DH92" s="263"/>
      <c r="DI92" s="263"/>
      <c r="DJ92" s="263"/>
      <c r="DK92" s="263"/>
      <c r="DL92" s="263"/>
      <c r="DM92" s="263"/>
      <c r="DN92" s="263"/>
      <c r="DO92" s="263"/>
      <c r="DP92" s="263"/>
      <c r="DQ92" s="263"/>
      <c r="DR92" s="263"/>
      <c r="DS92" s="263"/>
      <c r="DT92" s="263"/>
      <c r="DU92" s="263"/>
      <c r="DV92" s="263"/>
      <c r="DW92" s="263"/>
      <c r="DX92" s="263"/>
      <c r="DY92" s="263"/>
      <c r="DZ92" s="263"/>
      <c r="EA92" s="263"/>
      <c r="EB92" s="263"/>
      <c r="EC92" s="263"/>
      <c r="ED92" s="263"/>
      <c r="EE92" s="263"/>
      <c r="EF92" s="263"/>
      <c r="EG92" s="263"/>
      <c r="EH92" s="263"/>
      <c r="EI92" s="263"/>
      <c r="EJ92" s="263"/>
      <c r="EK92" s="263"/>
      <c r="EL92" s="263"/>
      <c r="EM92" s="263"/>
      <c r="EN92" s="263"/>
      <c r="EO92" s="263"/>
      <c r="EP92" s="263"/>
      <c r="EQ92" s="263"/>
      <c r="ER92" s="263"/>
      <c r="ES92" s="263"/>
      <c r="ET92" s="263"/>
      <c r="EU92" s="263"/>
      <c r="EV92" s="263"/>
      <c r="EW92" s="263"/>
      <c r="EX92" s="263"/>
      <c r="EY92" s="263"/>
      <c r="EZ92" s="263"/>
      <c r="FA92" s="263"/>
      <c r="FB92" s="263"/>
      <c r="FC92" s="263"/>
      <c r="FD92" s="263"/>
      <c r="FE92" s="263"/>
      <c r="FF92" s="263"/>
      <c r="FG92" s="263"/>
      <c r="FH92" s="263"/>
      <c r="FI92" s="263"/>
      <c r="FJ92" s="263"/>
      <c r="FK92" s="263"/>
      <c r="FL92" s="263"/>
      <c r="FM92" s="263"/>
      <c r="FN92" s="263"/>
      <c r="FO92" s="263"/>
      <c r="FP92" s="263"/>
      <c r="FQ92" s="263"/>
      <c r="FR92" s="263"/>
      <c r="FS92" s="263"/>
      <c r="FT92" s="263"/>
      <c r="FU92" s="263"/>
      <c r="FV92" s="263"/>
      <c r="FW92" s="263"/>
      <c r="FX92" s="263"/>
      <c r="FY92" s="263"/>
      <c r="FZ92" s="263"/>
      <c r="GA92" s="263"/>
      <c r="GB92" s="263"/>
      <c r="GC92" s="263"/>
      <c r="GD92" s="263"/>
      <c r="GE92" s="263"/>
      <c r="GF92" s="263"/>
      <c r="GG92" s="263"/>
      <c r="GH92" s="263"/>
      <c r="GI92" s="263"/>
      <c r="GJ92" s="263"/>
      <c r="GK92" s="263"/>
      <c r="GL92" s="263"/>
      <c r="GM92" s="263"/>
      <c r="GN92" s="263"/>
      <c r="GO92" s="263"/>
      <c r="GP92" s="263"/>
      <c r="GQ92" s="263"/>
      <c r="GR92" s="263"/>
      <c r="GS92" s="263"/>
      <c r="GT92" s="263"/>
      <c r="GU92" s="263"/>
      <c r="GV92" s="263"/>
      <c r="GW92" s="263"/>
      <c r="GX92" s="263"/>
      <c r="GY92" s="263"/>
      <c r="GZ92" s="263"/>
      <c r="HA92" s="263"/>
      <c r="HB92" s="263"/>
      <c r="HC92" s="263"/>
      <c r="HD92" s="263"/>
      <c r="HE92" s="263"/>
      <c r="HF92" s="263"/>
      <c r="HG92" s="263"/>
      <c r="HH92" s="263"/>
      <c r="HI92" s="263"/>
      <c r="HJ92" s="263"/>
      <c r="HK92" s="263"/>
      <c r="HL92" s="263"/>
      <c r="HM92" s="263"/>
      <c r="HN92" s="263"/>
      <c r="HO92" s="263"/>
      <c r="HP92" s="263"/>
      <c r="HQ92" s="263"/>
      <c r="HR92" s="263"/>
      <c r="HS92" s="263"/>
      <c r="HT92" s="263"/>
      <c r="HU92" s="263"/>
      <c r="HV92" s="263"/>
      <c r="HW92" s="263"/>
      <c r="HX92" s="263"/>
      <c r="HY92" s="263"/>
      <c r="HZ92" s="263"/>
      <c r="IA92" s="263"/>
      <c r="IB92" s="263"/>
      <c r="IC92" s="263"/>
      <c r="ID92" s="263"/>
      <c r="IE92" s="263"/>
      <c r="IF92" s="263"/>
      <c r="IG92" s="263"/>
      <c r="IH92" s="263"/>
      <c r="II92" s="263"/>
      <c r="IJ92" s="263"/>
      <c r="IK92" s="263"/>
      <c r="IL92" s="263"/>
      <c r="IM92" s="263"/>
      <c r="IN92" s="263"/>
      <c r="IO92" s="263"/>
      <c r="IP92" s="263"/>
      <c r="IQ92" s="263"/>
      <c r="IR92" s="263"/>
      <c r="IS92" s="263"/>
      <c r="IT92" s="263"/>
      <c r="IU92" s="263"/>
      <c r="IV92" s="263"/>
    </row>
    <row r="93" spans="1:256" s="281" customFormat="1" ht="15" customHeight="1" x14ac:dyDescent="0.3">
      <c r="A93" s="638">
        <v>34010120</v>
      </c>
      <c r="B93" s="638" t="s">
        <v>446</v>
      </c>
      <c r="C93" s="311"/>
      <c r="D93" s="638">
        <v>105.83</v>
      </c>
      <c r="E93" s="305">
        <f>SUMIF(Adjustments!A:A,A93,Adjustments!C:C)</f>
        <v>0</v>
      </c>
      <c r="F93" s="278">
        <f t="shared" si="0"/>
        <v>-105.83</v>
      </c>
      <c r="G93" s="263" t="str">
        <f>VLOOKUP('Trial Balance'!$A93,'Code Allocation'!$A:$D,3,0)</f>
        <v>CRA</v>
      </c>
      <c r="H93" s="266" t="str">
        <f>VLOOKUP('Trial Balance'!$A93,'Code Allocation'!$A:$D,4,0)</f>
        <v>Parks, gardens &amp; open Spaces</v>
      </c>
      <c r="I93" s="267" t="str">
        <f>VLOOKUP('Trial Balance'!$A93,'Code Allocation'!$A:$E,5,0)</f>
        <v>Customer &amp; Client Receipts</v>
      </c>
      <c r="J93" s="268" t="str">
        <f>VLOOKUP('Trial Balance'!$A93,'Code Allocation'!$A:$F,6,0)</f>
        <v>Bowls</v>
      </c>
      <c r="K93" s="263"/>
      <c r="L93" s="263"/>
      <c r="M93" s="263"/>
      <c r="N93" s="263"/>
      <c r="O93" s="263"/>
      <c r="P93" s="263"/>
      <c r="Q93" s="263"/>
      <c r="R93" s="263"/>
      <c r="S93" s="263"/>
      <c r="T93" s="263"/>
      <c r="U93" s="263"/>
      <c r="V93" s="263"/>
      <c r="W93" s="263"/>
      <c r="X93" s="263"/>
      <c r="Y93" s="263"/>
      <c r="Z93" s="263"/>
      <c r="AA93" s="263"/>
      <c r="AB93" s="263"/>
      <c r="AC93" s="263"/>
      <c r="AD93" s="263"/>
      <c r="AE93" s="263"/>
      <c r="AF93" s="263"/>
      <c r="AG93" s="263"/>
      <c r="AH93" s="263"/>
      <c r="AI93" s="263"/>
      <c r="AJ93" s="263"/>
      <c r="AK93" s="263"/>
      <c r="AL93" s="263"/>
      <c r="AM93" s="263"/>
      <c r="AN93" s="263"/>
      <c r="AO93" s="263"/>
      <c r="AP93" s="263"/>
      <c r="AQ93" s="263"/>
      <c r="AR93" s="263"/>
      <c r="AS93" s="263"/>
      <c r="AT93" s="263"/>
      <c r="AU93" s="263"/>
      <c r="AV93" s="263"/>
      <c r="AW93" s="263"/>
      <c r="AX93" s="263"/>
      <c r="AY93" s="263"/>
      <c r="AZ93" s="263"/>
      <c r="BA93" s="263"/>
      <c r="BB93" s="263"/>
      <c r="BC93" s="263"/>
      <c r="BD93" s="263"/>
      <c r="BE93" s="263"/>
      <c r="BF93" s="263"/>
      <c r="BG93" s="263"/>
      <c r="BH93" s="263"/>
      <c r="BI93" s="263"/>
      <c r="BJ93" s="263"/>
      <c r="BK93" s="263"/>
      <c r="BL93" s="263"/>
      <c r="BM93" s="263"/>
      <c r="BN93" s="263"/>
      <c r="BO93" s="263"/>
      <c r="BP93" s="263"/>
      <c r="BQ93" s="263"/>
      <c r="BR93" s="263"/>
      <c r="BS93" s="263"/>
      <c r="BT93" s="263"/>
      <c r="BU93" s="263"/>
      <c r="BV93" s="263"/>
      <c r="BW93" s="263"/>
      <c r="BX93" s="263"/>
      <c r="BY93" s="263"/>
      <c r="BZ93" s="263"/>
      <c r="CA93" s="263"/>
      <c r="CB93" s="263"/>
      <c r="CC93" s="263"/>
      <c r="CD93" s="263"/>
      <c r="CE93" s="263"/>
      <c r="CF93" s="263"/>
      <c r="CG93" s="263"/>
      <c r="CH93" s="263"/>
      <c r="CI93" s="263"/>
      <c r="CJ93" s="263"/>
      <c r="CK93" s="263"/>
      <c r="CL93" s="263"/>
      <c r="CM93" s="263"/>
      <c r="CN93" s="263"/>
      <c r="CO93" s="263"/>
      <c r="CP93" s="263"/>
      <c r="CQ93" s="263"/>
      <c r="CR93" s="263"/>
      <c r="CS93" s="263"/>
      <c r="CT93" s="263"/>
      <c r="CU93" s="263"/>
      <c r="CV93" s="263"/>
      <c r="CW93" s="263"/>
      <c r="CX93" s="263"/>
      <c r="CY93" s="263"/>
      <c r="CZ93" s="263"/>
      <c r="DA93" s="263"/>
      <c r="DB93" s="263"/>
      <c r="DC93" s="263"/>
      <c r="DD93" s="263"/>
      <c r="DE93" s="263"/>
      <c r="DF93" s="263"/>
      <c r="DG93" s="263"/>
      <c r="DH93" s="263"/>
      <c r="DI93" s="263"/>
      <c r="DJ93" s="263"/>
      <c r="DK93" s="263"/>
      <c r="DL93" s="263"/>
      <c r="DM93" s="263"/>
      <c r="DN93" s="263"/>
      <c r="DO93" s="263"/>
      <c r="DP93" s="263"/>
      <c r="DQ93" s="263"/>
      <c r="DR93" s="263"/>
      <c r="DS93" s="263"/>
      <c r="DT93" s="263"/>
      <c r="DU93" s="263"/>
      <c r="DV93" s="263"/>
      <c r="DW93" s="263"/>
      <c r="DX93" s="263"/>
      <c r="DY93" s="263"/>
      <c r="DZ93" s="263"/>
      <c r="EA93" s="263"/>
      <c r="EB93" s="263"/>
      <c r="EC93" s="263"/>
      <c r="ED93" s="263"/>
      <c r="EE93" s="263"/>
      <c r="EF93" s="263"/>
      <c r="EG93" s="263"/>
      <c r="EH93" s="263"/>
      <c r="EI93" s="263"/>
      <c r="EJ93" s="263"/>
      <c r="EK93" s="263"/>
      <c r="EL93" s="263"/>
      <c r="EM93" s="263"/>
      <c r="EN93" s="263"/>
      <c r="EO93" s="263"/>
      <c r="EP93" s="263"/>
      <c r="EQ93" s="263"/>
      <c r="ER93" s="263"/>
      <c r="ES93" s="263"/>
      <c r="ET93" s="263"/>
      <c r="EU93" s="263"/>
      <c r="EV93" s="263"/>
      <c r="EW93" s="263"/>
      <c r="EX93" s="263"/>
      <c r="EY93" s="263"/>
      <c r="EZ93" s="263"/>
      <c r="FA93" s="263"/>
      <c r="FB93" s="263"/>
      <c r="FC93" s="263"/>
      <c r="FD93" s="263"/>
      <c r="FE93" s="263"/>
      <c r="FF93" s="263"/>
      <c r="FG93" s="263"/>
      <c r="FH93" s="263"/>
      <c r="FI93" s="263"/>
      <c r="FJ93" s="263"/>
      <c r="FK93" s="263"/>
      <c r="FL93" s="263"/>
      <c r="FM93" s="263"/>
      <c r="FN93" s="263"/>
      <c r="FO93" s="263"/>
      <c r="FP93" s="263"/>
      <c r="FQ93" s="263"/>
      <c r="FR93" s="263"/>
      <c r="FS93" s="263"/>
      <c r="FT93" s="263"/>
      <c r="FU93" s="263"/>
      <c r="FV93" s="263"/>
      <c r="FW93" s="263"/>
      <c r="FX93" s="263"/>
      <c r="FY93" s="263"/>
      <c r="FZ93" s="263"/>
      <c r="GA93" s="263"/>
      <c r="GB93" s="263"/>
      <c r="GC93" s="263"/>
      <c r="GD93" s="263"/>
      <c r="GE93" s="263"/>
      <c r="GF93" s="263"/>
      <c r="GG93" s="263"/>
      <c r="GH93" s="263"/>
      <c r="GI93" s="263"/>
      <c r="GJ93" s="263"/>
      <c r="GK93" s="263"/>
      <c r="GL93" s="263"/>
      <c r="GM93" s="263"/>
      <c r="GN93" s="263"/>
      <c r="GO93" s="263"/>
      <c r="GP93" s="263"/>
      <c r="GQ93" s="263"/>
      <c r="GR93" s="263"/>
      <c r="GS93" s="263"/>
      <c r="GT93" s="263"/>
      <c r="GU93" s="263"/>
      <c r="GV93" s="263"/>
      <c r="GW93" s="263"/>
      <c r="GX93" s="263"/>
      <c r="GY93" s="263"/>
      <c r="GZ93" s="263"/>
      <c r="HA93" s="263"/>
      <c r="HB93" s="263"/>
      <c r="HC93" s="263"/>
      <c r="HD93" s="263"/>
      <c r="HE93" s="263"/>
      <c r="HF93" s="263"/>
      <c r="HG93" s="263"/>
      <c r="HH93" s="263"/>
      <c r="HI93" s="263"/>
      <c r="HJ93" s="263"/>
      <c r="HK93" s="263"/>
      <c r="HL93" s="263"/>
      <c r="HM93" s="263"/>
      <c r="HN93" s="263"/>
      <c r="HO93" s="263"/>
      <c r="HP93" s="263"/>
      <c r="HQ93" s="263"/>
      <c r="HR93" s="263"/>
      <c r="HS93" s="263"/>
      <c r="HT93" s="263"/>
      <c r="HU93" s="263"/>
      <c r="HV93" s="263"/>
      <c r="HW93" s="263"/>
      <c r="HX93" s="263"/>
      <c r="HY93" s="263"/>
      <c r="HZ93" s="263"/>
      <c r="IA93" s="263"/>
      <c r="IB93" s="263"/>
      <c r="IC93" s="263"/>
      <c r="ID93" s="263"/>
      <c r="IE93" s="263"/>
      <c r="IF93" s="263"/>
      <c r="IG93" s="263"/>
      <c r="IH93" s="263"/>
      <c r="II93" s="263"/>
      <c r="IJ93" s="263"/>
      <c r="IK93" s="263"/>
      <c r="IL93" s="263"/>
      <c r="IM93" s="263"/>
      <c r="IN93" s="263"/>
      <c r="IO93" s="263"/>
      <c r="IP93" s="263"/>
      <c r="IQ93" s="263"/>
      <c r="IR93" s="263"/>
      <c r="IS93" s="263"/>
      <c r="IT93" s="263"/>
      <c r="IU93" s="263"/>
      <c r="IV93" s="263"/>
    </row>
    <row r="94" spans="1:256" s="281" customFormat="1" ht="15" customHeight="1" x14ac:dyDescent="0.3">
      <c r="A94" s="638">
        <v>34010220</v>
      </c>
      <c r="B94" s="638" t="s">
        <v>447</v>
      </c>
      <c r="C94" s="311"/>
      <c r="D94" s="638">
        <v>120</v>
      </c>
      <c r="E94" s="305">
        <f>SUMIF(Adjustments!A:A,A94,Adjustments!C:C)</f>
        <v>0</v>
      </c>
      <c r="F94" s="278">
        <f t="shared" si="0"/>
        <v>-120</v>
      </c>
      <c r="G94" s="263" t="str">
        <f>VLOOKUP('Trial Balance'!$A94,'Code Allocation'!$A:$D,3,0)</f>
        <v>CRA</v>
      </c>
      <c r="H94" s="266" t="str">
        <f>VLOOKUP('Trial Balance'!$A94,'Code Allocation'!$A:$D,4,0)</f>
        <v>Parks, gardens &amp; open Spaces</v>
      </c>
      <c r="I94" s="267" t="str">
        <f>VLOOKUP('Trial Balance'!$A94,'Code Allocation'!$A:$E,5,0)</f>
        <v>Customer &amp; Client Receipts</v>
      </c>
      <c r="J94" s="268" t="str">
        <f>VLOOKUP('Trial Balance'!$A94,'Code Allocation'!$A:$F,6,0)</f>
        <v>Bowls</v>
      </c>
      <c r="K94" s="263"/>
      <c r="L94" s="263"/>
      <c r="M94" s="263"/>
      <c r="N94" s="263"/>
      <c r="O94" s="263"/>
      <c r="P94" s="263"/>
      <c r="Q94" s="263"/>
      <c r="R94" s="263"/>
      <c r="S94" s="263"/>
      <c r="T94" s="263"/>
      <c r="U94" s="263"/>
      <c r="V94" s="263"/>
      <c r="W94" s="263"/>
      <c r="X94" s="263"/>
      <c r="Y94" s="263"/>
      <c r="Z94" s="263"/>
      <c r="AA94" s="263"/>
      <c r="AB94" s="263"/>
      <c r="AC94" s="263"/>
      <c r="AD94" s="263"/>
      <c r="AE94" s="263"/>
      <c r="AF94" s="263"/>
      <c r="AG94" s="263"/>
      <c r="AH94" s="263"/>
      <c r="AI94" s="263"/>
      <c r="AJ94" s="263"/>
      <c r="AK94" s="263"/>
      <c r="AL94" s="263"/>
      <c r="AM94" s="263"/>
      <c r="AN94" s="263"/>
      <c r="AO94" s="263"/>
      <c r="AP94" s="263"/>
      <c r="AQ94" s="263"/>
      <c r="AR94" s="263"/>
      <c r="AS94" s="263"/>
      <c r="AT94" s="263"/>
      <c r="AU94" s="263"/>
      <c r="AV94" s="263"/>
      <c r="AW94" s="263"/>
      <c r="AX94" s="263"/>
      <c r="AY94" s="263"/>
      <c r="AZ94" s="263"/>
      <c r="BA94" s="263"/>
      <c r="BB94" s="263"/>
      <c r="BC94" s="263"/>
      <c r="BD94" s="263"/>
      <c r="BE94" s="263"/>
      <c r="BF94" s="263"/>
      <c r="BG94" s="263"/>
      <c r="BH94" s="263"/>
      <c r="BI94" s="263"/>
      <c r="BJ94" s="263"/>
      <c r="BK94" s="263"/>
      <c r="BL94" s="263"/>
      <c r="BM94" s="263"/>
      <c r="BN94" s="263"/>
      <c r="BO94" s="263"/>
      <c r="BP94" s="263"/>
      <c r="BQ94" s="263"/>
      <c r="BR94" s="263"/>
      <c r="BS94" s="263"/>
      <c r="BT94" s="263"/>
      <c r="BU94" s="263"/>
      <c r="BV94" s="263"/>
      <c r="BW94" s="263"/>
      <c r="BX94" s="263"/>
      <c r="BY94" s="263"/>
      <c r="BZ94" s="263"/>
      <c r="CA94" s="263"/>
      <c r="CB94" s="263"/>
      <c r="CC94" s="263"/>
      <c r="CD94" s="263"/>
      <c r="CE94" s="263"/>
      <c r="CF94" s="263"/>
      <c r="CG94" s="263"/>
      <c r="CH94" s="263"/>
      <c r="CI94" s="263"/>
      <c r="CJ94" s="263"/>
      <c r="CK94" s="263"/>
      <c r="CL94" s="263"/>
      <c r="CM94" s="263"/>
      <c r="CN94" s="263"/>
      <c r="CO94" s="263"/>
      <c r="CP94" s="263"/>
      <c r="CQ94" s="263"/>
      <c r="CR94" s="263"/>
      <c r="CS94" s="263"/>
      <c r="CT94" s="263"/>
      <c r="CU94" s="263"/>
      <c r="CV94" s="263"/>
      <c r="CW94" s="263"/>
      <c r="CX94" s="263"/>
      <c r="CY94" s="263"/>
      <c r="CZ94" s="263"/>
      <c r="DA94" s="263"/>
      <c r="DB94" s="263"/>
      <c r="DC94" s="263"/>
      <c r="DD94" s="263"/>
      <c r="DE94" s="263"/>
      <c r="DF94" s="263"/>
      <c r="DG94" s="263"/>
      <c r="DH94" s="263"/>
      <c r="DI94" s="263"/>
      <c r="DJ94" s="263"/>
      <c r="DK94" s="263"/>
      <c r="DL94" s="263"/>
      <c r="DM94" s="263"/>
      <c r="DN94" s="263"/>
      <c r="DO94" s="263"/>
      <c r="DP94" s="263"/>
      <c r="DQ94" s="263"/>
      <c r="DR94" s="263"/>
      <c r="DS94" s="263"/>
      <c r="DT94" s="263"/>
      <c r="DU94" s="263"/>
      <c r="DV94" s="263"/>
      <c r="DW94" s="263"/>
      <c r="DX94" s="263"/>
      <c r="DY94" s="263"/>
      <c r="DZ94" s="263"/>
      <c r="EA94" s="263"/>
      <c r="EB94" s="263"/>
      <c r="EC94" s="263"/>
      <c r="ED94" s="263"/>
      <c r="EE94" s="263"/>
      <c r="EF94" s="263"/>
      <c r="EG94" s="263"/>
      <c r="EH94" s="263"/>
      <c r="EI94" s="263"/>
      <c r="EJ94" s="263"/>
      <c r="EK94" s="263"/>
      <c r="EL94" s="263"/>
      <c r="EM94" s="263"/>
      <c r="EN94" s="263"/>
      <c r="EO94" s="263"/>
      <c r="EP94" s="263"/>
      <c r="EQ94" s="263"/>
      <c r="ER94" s="263"/>
      <c r="ES94" s="263"/>
      <c r="ET94" s="263"/>
      <c r="EU94" s="263"/>
      <c r="EV94" s="263"/>
      <c r="EW94" s="263"/>
      <c r="EX94" s="263"/>
      <c r="EY94" s="263"/>
      <c r="EZ94" s="263"/>
      <c r="FA94" s="263"/>
      <c r="FB94" s="263"/>
      <c r="FC94" s="263"/>
      <c r="FD94" s="263"/>
      <c r="FE94" s="263"/>
      <c r="FF94" s="263"/>
      <c r="FG94" s="263"/>
      <c r="FH94" s="263"/>
      <c r="FI94" s="263"/>
      <c r="FJ94" s="263"/>
      <c r="FK94" s="263"/>
      <c r="FL94" s="263"/>
      <c r="FM94" s="263"/>
      <c r="FN94" s="263"/>
      <c r="FO94" s="263"/>
      <c r="FP94" s="263"/>
      <c r="FQ94" s="263"/>
      <c r="FR94" s="263"/>
      <c r="FS94" s="263"/>
      <c r="FT94" s="263"/>
      <c r="FU94" s="263"/>
      <c r="FV94" s="263"/>
      <c r="FW94" s="263"/>
      <c r="FX94" s="263"/>
      <c r="FY94" s="263"/>
      <c r="FZ94" s="263"/>
      <c r="GA94" s="263"/>
      <c r="GB94" s="263"/>
      <c r="GC94" s="263"/>
      <c r="GD94" s="263"/>
      <c r="GE94" s="263"/>
      <c r="GF94" s="263"/>
      <c r="GG94" s="263"/>
      <c r="GH94" s="263"/>
      <c r="GI94" s="263"/>
      <c r="GJ94" s="263"/>
      <c r="GK94" s="263"/>
      <c r="GL94" s="263"/>
      <c r="GM94" s="263"/>
      <c r="GN94" s="263"/>
      <c r="GO94" s="263"/>
      <c r="GP94" s="263"/>
      <c r="GQ94" s="263"/>
      <c r="GR94" s="263"/>
      <c r="GS94" s="263"/>
      <c r="GT94" s="263"/>
      <c r="GU94" s="263"/>
      <c r="GV94" s="263"/>
      <c r="GW94" s="263"/>
      <c r="GX94" s="263"/>
      <c r="GY94" s="263"/>
      <c r="GZ94" s="263"/>
      <c r="HA94" s="263"/>
      <c r="HB94" s="263"/>
      <c r="HC94" s="263"/>
      <c r="HD94" s="263"/>
      <c r="HE94" s="263"/>
      <c r="HF94" s="263"/>
      <c r="HG94" s="263"/>
      <c r="HH94" s="263"/>
      <c r="HI94" s="263"/>
      <c r="HJ94" s="263"/>
      <c r="HK94" s="263"/>
      <c r="HL94" s="263"/>
      <c r="HM94" s="263"/>
      <c r="HN94" s="263"/>
      <c r="HO94" s="263"/>
      <c r="HP94" s="263"/>
      <c r="HQ94" s="263"/>
      <c r="HR94" s="263"/>
      <c r="HS94" s="263"/>
      <c r="HT94" s="263"/>
      <c r="HU94" s="263"/>
      <c r="HV94" s="263"/>
      <c r="HW94" s="263"/>
      <c r="HX94" s="263"/>
      <c r="HY94" s="263"/>
      <c r="HZ94" s="263"/>
      <c r="IA94" s="263"/>
      <c r="IB94" s="263"/>
      <c r="IC94" s="263"/>
      <c r="ID94" s="263"/>
      <c r="IE94" s="263"/>
      <c r="IF94" s="263"/>
      <c r="IG94" s="263"/>
      <c r="IH94" s="263"/>
      <c r="II94" s="263"/>
      <c r="IJ94" s="263"/>
      <c r="IK94" s="263"/>
      <c r="IL94" s="263"/>
      <c r="IM94" s="263"/>
      <c r="IN94" s="263"/>
      <c r="IO94" s="263"/>
      <c r="IP94" s="263"/>
      <c r="IQ94" s="263"/>
      <c r="IR94" s="263"/>
      <c r="IS94" s="263"/>
      <c r="IT94" s="263"/>
      <c r="IU94" s="263"/>
      <c r="IV94" s="263"/>
    </row>
    <row r="95" spans="1:256" ht="15" customHeight="1" x14ac:dyDescent="0.3">
      <c r="A95" s="638">
        <v>34020126</v>
      </c>
      <c r="B95" s="638" t="s">
        <v>448</v>
      </c>
      <c r="C95" s="311"/>
      <c r="D95" s="638">
        <v>540</v>
      </c>
      <c r="E95" s="305">
        <f>SUMIF(Adjustments!A:A,A95,Adjustments!C:C)</f>
        <v>0</v>
      </c>
      <c r="F95" s="278">
        <f t="shared" si="0"/>
        <v>-540</v>
      </c>
      <c r="G95" s="263" t="str">
        <f>VLOOKUP('Trial Balance'!$A95,'Code Allocation'!$A:$D,3,0)</f>
        <v>CRA</v>
      </c>
      <c r="H95" s="266" t="str">
        <f>VLOOKUP('Trial Balance'!$A95,'Code Allocation'!$A:$D,4,0)</f>
        <v>Parks, gardens &amp; open Spaces</v>
      </c>
      <c r="I95" s="267" t="str">
        <f>VLOOKUP('Trial Balance'!$A95,'Code Allocation'!$A:$E,5,0)</f>
        <v>Customer &amp; Client Receipts</v>
      </c>
      <c r="J95" s="268" t="str">
        <f>VLOOKUP('Trial Balance'!$A95,'Code Allocation'!$A:$F,6,0)</f>
        <v>Football</v>
      </c>
    </row>
    <row r="96" spans="1:256" ht="15" customHeight="1" x14ac:dyDescent="0.3">
      <c r="A96" s="638">
        <v>34020127</v>
      </c>
      <c r="B96" s="638" t="s">
        <v>449</v>
      </c>
      <c r="C96" s="311"/>
      <c r="D96" s="638">
        <v>109.05</v>
      </c>
      <c r="E96" s="305">
        <f>SUMIF(Adjustments!A:A,A96,Adjustments!C:C)</f>
        <v>0</v>
      </c>
      <c r="F96" s="278">
        <f t="shared" si="0"/>
        <v>-109.05</v>
      </c>
      <c r="G96" s="263" t="str">
        <f>VLOOKUP('Trial Balance'!$A96,'Code Allocation'!$A:$D,3,0)</f>
        <v>CRA</v>
      </c>
      <c r="H96" s="266" t="str">
        <f>VLOOKUP('Trial Balance'!$A96,'Code Allocation'!$A:$D,4,0)</f>
        <v>Parks, gardens &amp; open Spaces</v>
      </c>
      <c r="I96" s="267" t="str">
        <f>VLOOKUP('Trial Balance'!$A96,'Code Allocation'!$A:$E,5,0)</f>
        <v>Customer &amp; Client Receipts</v>
      </c>
      <c r="J96" s="268" t="str">
        <f>VLOOKUP('Trial Balance'!$A96,'Code Allocation'!$A:$F,6,0)</f>
        <v>Football</v>
      </c>
    </row>
    <row r="97" spans="1:256" ht="15" customHeight="1" x14ac:dyDescent="0.3">
      <c r="A97" s="638">
        <v>34020129</v>
      </c>
      <c r="B97" s="638" t="s">
        <v>450</v>
      </c>
      <c r="C97" s="311"/>
      <c r="D97" s="638">
        <v>231</v>
      </c>
      <c r="E97" s="305">
        <f>SUMIF(Adjustments!A:A,A97,Adjustments!C:C)</f>
        <v>0</v>
      </c>
      <c r="F97" s="280">
        <f t="shared" si="0"/>
        <v>-231</v>
      </c>
      <c r="G97" s="263" t="str">
        <f>VLOOKUP('Trial Balance'!$A97,'Code Allocation'!$A:$D,3,0)</f>
        <v>CRA</v>
      </c>
      <c r="H97" s="266" t="str">
        <f>VLOOKUP('Trial Balance'!$A97,'Code Allocation'!$A:$D,4,0)</f>
        <v>Parks, gardens &amp; open Spaces</v>
      </c>
      <c r="I97" s="267" t="str">
        <f>VLOOKUP('Trial Balance'!$A97,'Code Allocation'!$A:$E,5,0)</f>
        <v>Customer &amp; Client Receipts</v>
      </c>
      <c r="J97" s="268" t="str">
        <f>VLOOKUP('Trial Balance'!$A97,'Code Allocation'!$A:$F,6,0)</f>
        <v>Football</v>
      </c>
    </row>
    <row r="98" spans="1:256" ht="15" customHeight="1" x14ac:dyDescent="0.3">
      <c r="A98" s="638">
        <v>34020226</v>
      </c>
      <c r="B98" s="638" t="s">
        <v>451</v>
      </c>
      <c r="C98" s="311"/>
      <c r="D98" s="638">
        <v>95.85</v>
      </c>
      <c r="E98" s="305">
        <f>SUMIF(Adjustments!A:A,A98,Adjustments!C:C)</f>
        <v>0</v>
      </c>
      <c r="F98" s="642">
        <f>C98-D98+E98</f>
        <v>-95.85</v>
      </c>
      <c r="G98" s="263" t="str">
        <f>VLOOKUP('Trial Balance'!$A98,'Code Allocation'!$A:$D,3,0)</f>
        <v>CRA</v>
      </c>
      <c r="H98" s="266" t="str">
        <f>VLOOKUP('Trial Balance'!$A98,'Code Allocation'!$A:$D,4,0)</f>
        <v>Parks, gardens &amp; open Spaces</v>
      </c>
      <c r="I98" s="267" t="str">
        <f>VLOOKUP('Trial Balance'!$A98,'Code Allocation'!$A:$E,5,0)</f>
        <v>Customer &amp; Client Receipts</v>
      </c>
      <c r="J98" s="268" t="str">
        <f>VLOOKUP('Trial Balance'!$A98,'Code Allocation'!$A:$F,6,0)</f>
        <v>Football</v>
      </c>
    </row>
    <row r="99" spans="1:256" s="279" customFormat="1" ht="15" customHeight="1" x14ac:dyDescent="0.3">
      <c r="A99" s="638">
        <v>34020227</v>
      </c>
      <c r="B99" s="638" t="s">
        <v>452</v>
      </c>
      <c r="C99" s="311"/>
      <c r="D99" s="638">
        <v>65.400000000000006</v>
      </c>
      <c r="E99" s="305">
        <f>SUMIF(Adjustments!A:A,A99,Adjustments!C:C)</f>
        <v>0</v>
      </c>
      <c r="F99" s="642">
        <f t="shared" si="0"/>
        <v>-65.400000000000006</v>
      </c>
      <c r="G99" s="263" t="str">
        <f>VLOOKUP('Trial Balance'!$A99,'Code Allocation'!$A:$D,3,0)</f>
        <v>CRA</v>
      </c>
      <c r="H99" s="266" t="str">
        <f>VLOOKUP('Trial Balance'!$A99,'Code Allocation'!$A:$D,4,0)</f>
        <v>Parks, gardens &amp; open Spaces</v>
      </c>
      <c r="I99" s="267" t="str">
        <f>VLOOKUP('Trial Balance'!$A99,'Code Allocation'!$A:$E,5,0)</f>
        <v>Customer &amp; Client Receipts</v>
      </c>
      <c r="J99" s="268" t="str">
        <f>VLOOKUP('Trial Balance'!$A99,'Code Allocation'!$A:$F,6,0)</f>
        <v>Football</v>
      </c>
      <c r="K99" s="263"/>
      <c r="L99" s="263"/>
      <c r="M99" s="263"/>
      <c r="N99" s="263"/>
      <c r="O99" s="263"/>
      <c r="P99" s="263"/>
      <c r="Q99" s="263"/>
      <c r="R99" s="263"/>
      <c r="S99" s="263"/>
      <c r="T99" s="263"/>
      <c r="U99" s="263"/>
      <c r="V99" s="263"/>
      <c r="W99" s="263"/>
      <c r="X99" s="263"/>
      <c r="Y99" s="263"/>
      <c r="Z99" s="263"/>
      <c r="AA99" s="263"/>
      <c r="AB99" s="263"/>
      <c r="AC99" s="263"/>
      <c r="AD99" s="263"/>
      <c r="AE99" s="263"/>
      <c r="AF99" s="263"/>
      <c r="AG99" s="263"/>
      <c r="AH99" s="263"/>
      <c r="AI99" s="263"/>
      <c r="AJ99" s="263"/>
      <c r="AK99" s="263"/>
      <c r="AL99" s="263"/>
      <c r="AM99" s="263"/>
      <c r="AN99" s="263"/>
      <c r="AO99" s="263"/>
      <c r="AP99" s="263"/>
      <c r="AQ99" s="263"/>
      <c r="AR99" s="263"/>
      <c r="AS99" s="263"/>
      <c r="AT99" s="263"/>
      <c r="AU99" s="263"/>
      <c r="AV99" s="263"/>
      <c r="AW99" s="263"/>
      <c r="AX99" s="263"/>
      <c r="AY99" s="263"/>
      <c r="AZ99" s="263"/>
      <c r="BA99" s="263"/>
      <c r="BB99" s="263"/>
      <c r="BC99" s="263"/>
      <c r="BD99" s="263"/>
      <c r="BE99" s="263"/>
      <c r="BF99" s="263"/>
      <c r="BG99" s="263"/>
      <c r="BH99" s="263"/>
      <c r="BI99" s="263"/>
      <c r="BJ99" s="263"/>
      <c r="BK99" s="263"/>
      <c r="BL99" s="263"/>
      <c r="BM99" s="263"/>
      <c r="BN99" s="263"/>
      <c r="BO99" s="263"/>
      <c r="BP99" s="263"/>
      <c r="BQ99" s="263"/>
      <c r="BR99" s="263"/>
      <c r="BS99" s="263"/>
      <c r="BT99" s="263"/>
      <c r="BU99" s="263"/>
      <c r="BV99" s="263"/>
      <c r="BW99" s="263"/>
      <c r="BX99" s="263"/>
      <c r="BY99" s="263"/>
      <c r="BZ99" s="263"/>
      <c r="CA99" s="263"/>
      <c r="CB99" s="263"/>
      <c r="CC99" s="263"/>
      <c r="CD99" s="263"/>
      <c r="CE99" s="263"/>
      <c r="CF99" s="263"/>
      <c r="CG99" s="263"/>
      <c r="CH99" s="263"/>
      <c r="CI99" s="263"/>
      <c r="CJ99" s="263"/>
      <c r="CK99" s="263"/>
      <c r="CL99" s="263"/>
      <c r="CM99" s="263"/>
      <c r="CN99" s="263"/>
      <c r="CO99" s="263"/>
      <c r="CP99" s="263"/>
      <c r="CQ99" s="263"/>
      <c r="CR99" s="263"/>
      <c r="CS99" s="263"/>
      <c r="CT99" s="263"/>
      <c r="CU99" s="263"/>
      <c r="CV99" s="263"/>
      <c r="CW99" s="263"/>
      <c r="CX99" s="263"/>
      <c r="CY99" s="263"/>
      <c r="CZ99" s="263"/>
      <c r="DA99" s="263"/>
      <c r="DB99" s="263"/>
      <c r="DC99" s="263"/>
      <c r="DD99" s="263"/>
      <c r="DE99" s="263"/>
      <c r="DF99" s="263"/>
      <c r="DG99" s="263"/>
      <c r="DH99" s="263"/>
      <c r="DI99" s="263"/>
      <c r="DJ99" s="263"/>
      <c r="DK99" s="263"/>
      <c r="DL99" s="263"/>
      <c r="DM99" s="263"/>
      <c r="DN99" s="263"/>
      <c r="DO99" s="263"/>
      <c r="DP99" s="263"/>
      <c r="DQ99" s="263"/>
      <c r="DR99" s="263"/>
      <c r="DS99" s="263"/>
      <c r="DT99" s="263"/>
      <c r="DU99" s="263"/>
      <c r="DV99" s="263"/>
      <c r="DW99" s="263"/>
      <c r="DX99" s="263"/>
      <c r="DY99" s="263"/>
      <c r="DZ99" s="263"/>
      <c r="EA99" s="263"/>
      <c r="EB99" s="263"/>
      <c r="EC99" s="263"/>
      <c r="ED99" s="263"/>
      <c r="EE99" s="263"/>
      <c r="EF99" s="263"/>
      <c r="EG99" s="263"/>
      <c r="EH99" s="263"/>
      <c r="EI99" s="263"/>
      <c r="EJ99" s="263"/>
      <c r="EK99" s="263"/>
      <c r="EL99" s="263"/>
      <c r="EM99" s="263"/>
      <c r="EN99" s="263"/>
      <c r="EO99" s="263"/>
      <c r="EP99" s="263"/>
      <c r="EQ99" s="263"/>
      <c r="ER99" s="263"/>
      <c r="ES99" s="263"/>
      <c r="ET99" s="263"/>
      <c r="EU99" s="263"/>
      <c r="EV99" s="263"/>
      <c r="EW99" s="263"/>
      <c r="EX99" s="263"/>
      <c r="EY99" s="263"/>
      <c r="EZ99" s="263"/>
      <c r="FA99" s="263"/>
      <c r="FB99" s="263"/>
      <c r="FC99" s="263"/>
      <c r="FD99" s="263"/>
      <c r="FE99" s="263"/>
      <c r="FF99" s="263"/>
      <c r="FG99" s="263"/>
      <c r="FH99" s="263"/>
      <c r="FI99" s="263"/>
      <c r="FJ99" s="263"/>
      <c r="FK99" s="263"/>
      <c r="FL99" s="263"/>
      <c r="FM99" s="263"/>
      <c r="FN99" s="263"/>
      <c r="FO99" s="263"/>
      <c r="FP99" s="263"/>
      <c r="FQ99" s="263"/>
      <c r="FR99" s="263"/>
      <c r="FS99" s="263"/>
      <c r="FT99" s="263"/>
      <c r="FU99" s="263"/>
      <c r="FV99" s="263"/>
      <c r="FW99" s="263"/>
      <c r="FX99" s="263"/>
      <c r="FY99" s="263"/>
      <c r="FZ99" s="263"/>
      <c r="GA99" s="263"/>
      <c r="GB99" s="263"/>
      <c r="GC99" s="263"/>
      <c r="GD99" s="263"/>
      <c r="GE99" s="263"/>
      <c r="GF99" s="263"/>
      <c r="GG99" s="263"/>
      <c r="GH99" s="263"/>
      <c r="GI99" s="263"/>
      <c r="GJ99" s="263"/>
      <c r="GK99" s="263"/>
      <c r="GL99" s="263"/>
      <c r="GM99" s="263"/>
      <c r="GN99" s="263"/>
      <c r="GO99" s="263"/>
      <c r="GP99" s="263"/>
      <c r="GQ99" s="263"/>
      <c r="GR99" s="263"/>
      <c r="GS99" s="263"/>
      <c r="GT99" s="263"/>
      <c r="GU99" s="263"/>
      <c r="GV99" s="263"/>
      <c r="GW99" s="263"/>
      <c r="GX99" s="263"/>
      <c r="GY99" s="263"/>
      <c r="GZ99" s="263"/>
      <c r="HA99" s="263"/>
      <c r="HB99" s="263"/>
      <c r="HC99" s="263"/>
      <c r="HD99" s="263"/>
      <c r="HE99" s="263"/>
      <c r="HF99" s="263"/>
      <c r="HG99" s="263"/>
      <c r="HH99" s="263"/>
      <c r="HI99" s="263"/>
      <c r="HJ99" s="263"/>
      <c r="HK99" s="263"/>
      <c r="HL99" s="263"/>
      <c r="HM99" s="263"/>
      <c r="HN99" s="263"/>
      <c r="HO99" s="263"/>
      <c r="HP99" s="263"/>
      <c r="HQ99" s="263"/>
      <c r="HR99" s="263"/>
      <c r="HS99" s="263"/>
      <c r="HT99" s="263"/>
      <c r="HU99" s="263"/>
      <c r="HV99" s="263"/>
      <c r="HW99" s="263"/>
      <c r="HX99" s="263"/>
      <c r="HY99" s="263"/>
      <c r="HZ99" s="263"/>
      <c r="IA99" s="263"/>
      <c r="IB99" s="263"/>
      <c r="IC99" s="263"/>
      <c r="ID99" s="263"/>
      <c r="IE99" s="263"/>
      <c r="IF99" s="263"/>
      <c r="IG99" s="263"/>
      <c r="IH99" s="263"/>
      <c r="II99" s="263"/>
      <c r="IJ99" s="263"/>
      <c r="IK99" s="263"/>
      <c r="IL99" s="263"/>
      <c r="IM99" s="263"/>
      <c r="IN99" s="263"/>
      <c r="IO99" s="263"/>
      <c r="IP99" s="263"/>
      <c r="IQ99" s="263"/>
      <c r="IR99" s="263"/>
      <c r="IS99" s="263"/>
      <c r="IT99" s="263"/>
      <c r="IU99" s="263"/>
      <c r="IV99" s="263"/>
    </row>
    <row r="100" spans="1:256" ht="15" customHeight="1" x14ac:dyDescent="0.3">
      <c r="A100" s="638">
        <v>34020327</v>
      </c>
      <c r="B100" s="638" t="s">
        <v>453</v>
      </c>
      <c r="C100" s="311"/>
      <c r="D100" s="638">
        <v>37.6</v>
      </c>
      <c r="E100" s="305">
        <f>SUMIF(Adjustments!A:A,A100,Adjustments!C:C)</f>
        <v>0</v>
      </c>
      <c r="F100" s="642">
        <f t="shared" si="0"/>
        <v>-37.6</v>
      </c>
      <c r="G100" s="263" t="str">
        <f>VLOOKUP('Trial Balance'!$A100,'Code Allocation'!$A:$D,3,0)</f>
        <v>CRA</v>
      </c>
      <c r="H100" s="266" t="str">
        <f>VLOOKUP('Trial Balance'!$A100,'Code Allocation'!$A:$D,4,0)</f>
        <v>Parks, gardens &amp; open Spaces</v>
      </c>
      <c r="I100" s="267" t="str">
        <f>VLOOKUP('Trial Balance'!$A100,'Code Allocation'!$A:$E,5,0)</f>
        <v>Customer &amp; Client Receipts</v>
      </c>
      <c r="J100" s="268" t="str">
        <f>VLOOKUP('Trial Balance'!$A100,'Code Allocation'!$A:$F,6,0)</f>
        <v>Football</v>
      </c>
    </row>
    <row r="101" spans="1:256" ht="15" customHeight="1" x14ac:dyDescent="0.3">
      <c r="A101" s="638">
        <v>34020333</v>
      </c>
      <c r="B101" s="638" t="s">
        <v>454</v>
      </c>
      <c r="C101" s="311"/>
      <c r="D101" s="638">
        <v>47</v>
      </c>
      <c r="E101" s="305">
        <f>SUMIF(Adjustments!A:A,A101,Adjustments!C:C)</f>
        <v>0</v>
      </c>
      <c r="F101" s="642">
        <f t="shared" si="0"/>
        <v>-47</v>
      </c>
      <c r="G101" s="263" t="str">
        <f>VLOOKUP('Trial Balance'!$A101,'Code Allocation'!$A:$D,3,0)</f>
        <v>CRA</v>
      </c>
      <c r="H101" s="266" t="str">
        <f>VLOOKUP('Trial Balance'!$A101,'Code Allocation'!$A:$D,4,0)</f>
        <v>Parks, gardens &amp; open Spaces</v>
      </c>
      <c r="I101" s="267" t="str">
        <f>VLOOKUP('Trial Balance'!$A101,'Code Allocation'!$A:$E,5,0)</f>
        <v>Customer &amp; Client Receipts</v>
      </c>
      <c r="J101" s="268" t="str">
        <f>VLOOKUP('Trial Balance'!$A101,'Code Allocation'!$A:$F,6,0)</f>
        <v>Football</v>
      </c>
    </row>
    <row r="102" spans="1:256" ht="15" customHeight="1" x14ac:dyDescent="0.3">
      <c r="A102" s="638">
        <v>34020334</v>
      </c>
      <c r="B102" s="638" t="s">
        <v>455</v>
      </c>
      <c r="C102" s="311"/>
      <c r="D102" s="638">
        <v>84.6</v>
      </c>
      <c r="E102" s="305">
        <f>SUMIF(Adjustments!A:A,A102,Adjustments!C:C)</f>
        <v>0</v>
      </c>
      <c r="F102" s="642">
        <v>480</v>
      </c>
      <c r="G102" s="263" t="str">
        <f>VLOOKUP('Trial Balance'!$A102,'Code Allocation'!$A:$D,3,0)</f>
        <v>CRA</v>
      </c>
      <c r="H102" s="266" t="str">
        <f>VLOOKUP('Trial Balance'!$A102,'Code Allocation'!$A:$D,4,0)</f>
        <v>Parks, gardens &amp; open Spaces</v>
      </c>
      <c r="I102" s="267" t="str">
        <f>VLOOKUP('Trial Balance'!$A102,'Code Allocation'!$A:$E,5,0)</f>
        <v>Customer &amp; Client Receipts</v>
      </c>
      <c r="J102" s="268" t="str">
        <f>VLOOKUP('Trial Balance'!$A102,'Code Allocation'!$A:$F,6,0)</f>
        <v>Football</v>
      </c>
    </row>
    <row r="103" spans="1:256" ht="15" customHeight="1" x14ac:dyDescent="0.3">
      <c r="A103" s="638">
        <v>34030127</v>
      </c>
      <c r="B103" s="638" t="s">
        <v>456</v>
      </c>
      <c r="C103" s="311"/>
      <c r="D103" s="640">
        <v>1497.2</v>
      </c>
      <c r="E103" s="305">
        <f>SUMIF(Adjustments!A:A,A103,Adjustments!C:C)</f>
        <v>0</v>
      </c>
      <c r="F103" s="639">
        <f t="shared" si="0"/>
        <v>-1497.2</v>
      </c>
      <c r="G103" s="263" t="str">
        <f>VLOOKUP('Trial Balance'!$A103,'Code Allocation'!$A:$D,3,0)</f>
        <v>CRA</v>
      </c>
      <c r="H103" s="266" t="str">
        <f>VLOOKUP('Trial Balance'!$A103,'Code Allocation'!$A:$D,4,0)</f>
        <v>Parks, gardens &amp; open Spaces</v>
      </c>
      <c r="I103" s="267" t="str">
        <f>VLOOKUP('Trial Balance'!$A103,'Code Allocation'!$A:$E,5,0)</f>
        <v>Customer &amp; Client Receipts</v>
      </c>
      <c r="J103" s="268" t="str">
        <f>VLOOKUP('Trial Balance'!$A103,'Code Allocation'!$A:$F,6,0)</f>
        <v>Cricket</v>
      </c>
    </row>
    <row r="104" spans="1:256" s="279" customFormat="1" ht="15" customHeight="1" x14ac:dyDescent="0.3">
      <c r="A104" s="638">
        <v>34150419</v>
      </c>
      <c r="B104" s="638" t="s">
        <v>457</v>
      </c>
      <c r="C104" s="311"/>
      <c r="D104" s="640">
        <v>1104.9000000000001</v>
      </c>
      <c r="E104" s="305">
        <f>SUMIF(Adjustments!A:A,A104,Adjustments!C:C)</f>
        <v>0</v>
      </c>
      <c r="F104" s="641">
        <f t="shared" si="0"/>
        <v>-1104.9000000000001</v>
      </c>
      <c r="G104" s="263" t="str">
        <f>VLOOKUP('Trial Balance'!$A104,'Code Allocation'!$A:$D,3,0)</f>
        <v>CRA</v>
      </c>
      <c r="H104" s="266" t="str">
        <f>VLOOKUP('Trial Balance'!$A104,'Code Allocation'!$A:$D,4,0)</f>
        <v>Parks, gardens &amp; open Spaces</v>
      </c>
      <c r="I104" s="267" t="str">
        <f>VLOOKUP('Trial Balance'!$A104,'Code Allocation'!$A:$E,5,0)</f>
        <v>Customer &amp; Client Receipts</v>
      </c>
      <c r="J104" s="268" t="str">
        <f>VLOOKUP('Trial Balance'!$A104,'Code Allocation'!$A:$F,6,0)</f>
        <v>Rental Income</v>
      </c>
    </row>
    <row r="105" spans="1:256" s="279" customFormat="1" ht="15" customHeight="1" x14ac:dyDescent="0.3">
      <c r="A105" s="638">
        <v>34200121</v>
      </c>
      <c r="B105" s="638" t="s">
        <v>458</v>
      </c>
      <c r="C105" s="311"/>
      <c r="D105" s="640">
        <v>2268.4499999999998</v>
      </c>
      <c r="E105" s="305">
        <f>SUMIF(Adjustments!A:A,A105,Adjustments!C:C)</f>
        <v>0</v>
      </c>
      <c r="F105" s="639">
        <f t="shared" si="0"/>
        <v>-2268.4499999999998</v>
      </c>
      <c r="G105" s="263" t="str">
        <f>VLOOKUP('Trial Balance'!$A105,'Code Allocation'!$A:$D,3,0)</f>
        <v>CRA</v>
      </c>
      <c r="H105" s="266" t="str">
        <f>VLOOKUP('Trial Balance'!$A105,'Code Allocation'!$A:$D,4,0)</f>
        <v>Parks, gardens &amp; open Spaces</v>
      </c>
      <c r="I105" s="267" t="str">
        <f>VLOOKUP('Trial Balance'!$A105,'Code Allocation'!$A:$E,5,0)</f>
        <v>Customer &amp; Client Receipts</v>
      </c>
      <c r="J105" s="268" t="str">
        <f>VLOOKUP('Trial Balance'!$A105,'Code Allocation'!$A:$F,6,0)</f>
        <v>Hire of Buildings</v>
      </c>
    </row>
    <row r="106" spans="1:256" ht="15" customHeight="1" x14ac:dyDescent="0.3">
      <c r="A106" s="638">
        <v>34200128</v>
      </c>
      <c r="B106" s="638" t="s">
        <v>459</v>
      </c>
      <c r="C106" s="311"/>
      <c r="D106" s="640">
        <v>1655.85</v>
      </c>
      <c r="E106" s="305">
        <f>SUMIF(Adjustments!A:A,A106,Adjustments!C:C)</f>
        <v>0</v>
      </c>
      <c r="F106" s="639">
        <f t="shared" si="0"/>
        <v>-1655.85</v>
      </c>
      <c r="G106" s="263" t="str">
        <f>VLOOKUP('Trial Balance'!$A106,'Code Allocation'!$A:$D,3,0)</f>
        <v>CRA</v>
      </c>
      <c r="H106" s="266" t="str">
        <f>VLOOKUP('Trial Balance'!$A106,'Code Allocation'!$A:$D,4,0)</f>
        <v>Parks, gardens &amp; open Spaces</v>
      </c>
      <c r="I106" s="267" t="str">
        <f>VLOOKUP('Trial Balance'!$A106,'Code Allocation'!$A:$E,5,0)</f>
        <v>Customer &amp; Client Receipts</v>
      </c>
      <c r="J106" s="268" t="str">
        <f>VLOOKUP('Trial Balance'!$A106,'Code Allocation'!$A:$F,6,0)</f>
        <v>Hire of Buildings</v>
      </c>
    </row>
    <row r="107" spans="1:256" ht="15" customHeight="1" x14ac:dyDescent="0.3">
      <c r="A107" s="638">
        <v>34220199</v>
      </c>
      <c r="B107" s="638" t="s">
        <v>460</v>
      </c>
      <c r="C107" s="311"/>
      <c r="D107" s="638">
        <v>167</v>
      </c>
      <c r="E107" s="305">
        <f>SUMIF(Adjustments!A:A,A107,Adjustments!C:C)</f>
        <v>0</v>
      </c>
      <c r="F107" s="639">
        <f t="shared" ref="F107:F170" si="1">C107-D107+E107</f>
        <v>-167</v>
      </c>
      <c r="G107" s="263" t="str">
        <f>VLOOKUP('Trial Balance'!$A107,'Code Allocation'!$A:$D,3,0)</f>
        <v>CRA</v>
      </c>
      <c r="H107" s="266" t="str">
        <f>VLOOKUP('Trial Balance'!$A107,'Code Allocation'!$A:$D,4,0)</f>
        <v>Parks, gardens &amp; open Spaces</v>
      </c>
      <c r="I107" s="267" t="str">
        <f>VLOOKUP('Trial Balance'!$A107,'Code Allocation'!$A:$E,5,0)</f>
        <v>Customer &amp; Client Receipts</v>
      </c>
      <c r="J107" s="268" t="str">
        <f>VLOOKUP('Trial Balance'!$A107,'Code Allocation'!$A:$F,6,0)</f>
        <v>Watering/Making up Hanging Baskets</v>
      </c>
    </row>
    <row r="108" spans="1:256" ht="15" customHeight="1" x14ac:dyDescent="0.3">
      <c r="A108" s="638">
        <v>34350120</v>
      </c>
      <c r="B108" s="638" t="s">
        <v>461</v>
      </c>
      <c r="C108" s="311"/>
      <c r="D108" s="638">
        <v>0.17</v>
      </c>
      <c r="E108" s="305">
        <f>SUMIF(Adjustments!A:A,A108,Adjustments!C:C)</f>
        <v>0</v>
      </c>
      <c r="F108" s="642">
        <f t="shared" si="1"/>
        <v>-0.17</v>
      </c>
      <c r="G108" s="263" t="str">
        <f>VLOOKUP('Trial Balance'!$A108,'Code Allocation'!$A:$D,3,0)</f>
        <v>CRA</v>
      </c>
      <c r="H108" s="266" t="str">
        <f>VLOOKUP('Trial Balance'!$A108,'Code Allocation'!$A:$D,4,0)</f>
        <v>Parks, gardens &amp; open Spaces</v>
      </c>
      <c r="I108" s="267" t="str">
        <f>VLOOKUP('Trial Balance'!$A108,'Code Allocation'!$A:$E,5,0)</f>
        <v>Customer &amp; Client Receipts</v>
      </c>
      <c r="J108" s="268" t="str">
        <f>VLOOKUP('Trial Balance'!$A108,'Code Allocation'!$A:$F,6,0)</f>
        <v>Telephone Income</v>
      </c>
    </row>
    <row r="109" spans="1:256" ht="14" x14ac:dyDescent="0.3">
      <c r="A109" s="638">
        <v>34350128</v>
      </c>
      <c r="B109" s="638" t="s">
        <v>462</v>
      </c>
      <c r="C109" s="311"/>
      <c r="D109" s="638">
        <v>0.42</v>
      </c>
      <c r="E109" s="305">
        <f>SUMIF(Adjustments!A:A,A109,Adjustments!C:C)</f>
        <v>0</v>
      </c>
      <c r="F109" s="642">
        <f t="shared" si="1"/>
        <v>-0.42</v>
      </c>
      <c r="G109" s="263" t="str">
        <f>VLOOKUP('Trial Balance'!$A109,'Code Allocation'!$A:$D,3,0)</f>
        <v>CRA</v>
      </c>
      <c r="H109" s="266" t="str">
        <f>VLOOKUP('Trial Balance'!$A109,'Code Allocation'!$A:$D,4,0)</f>
        <v>Parks, gardens &amp; open Spaces</v>
      </c>
      <c r="I109" s="267" t="str">
        <f>VLOOKUP('Trial Balance'!$A109,'Code Allocation'!$A:$E,5,0)</f>
        <v>Customer &amp; Client Receipts</v>
      </c>
      <c r="J109" s="268" t="str">
        <f>VLOOKUP('Trial Balance'!$A109,'Code Allocation'!$A:$F,6,0)</f>
        <v>Telephone Income</v>
      </c>
    </row>
    <row r="110" spans="1:256" ht="15" customHeight="1" x14ac:dyDescent="0.3">
      <c r="A110" s="638">
        <v>34350166</v>
      </c>
      <c r="B110" s="638" t="s">
        <v>463</v>
      </c>
      <c r="C110" s="311"/>
      <c r="D110" s="638">
        <v>10.25</v>
      </c>
      <c r="E110" s="305">
        <f>SUMIF(Adjustments!A:A,A110,Adjustments!C:C)</f>
        <v>0</v>
      </c>
      <c r="F110" s="639">
        <f t="shared" si="1"/>
        <v>-10.25</v>
      </c>
      <c r="G110" s="263" t="str">
        <f>VLOOKUP('Trial Balance'!$A110,'Code Allocation'!$A:$D,3,0)</f>
        <v>CRA</v>
      </c>
      <c r="H110" s="266" t="str">
        <f>VLOOKUP('Trial Balance'!$A110,'Code Allocation'!$A:$D,4,0)</f>
        <v>Parks, gardens &amp; open Spaces</v>
      </c>
      <c r="I110" s="267" t="str">
        <f>VLOOKUP('Trial Balance'!$A110,'Code Allocation'!$A:$E,5,0)</f>
        <v>Customer &amp; Client Receipts</v>
      </c>
      <c r="J110" s="268" t="str">
        <f>VLOOKUP('Trial Balance'!$A110,'Code Allocation'!$A:$F,6,0)</f>
        <v>Telephone Income</v>
      </c>
    </row>
    <row r="111" spans="1:256" ht="15" customHeight="1" x14ac:dyDescent="0.3">
      <c r="A111" s="638">
        <v>34400199</v>
      </c>
      <c r="B111" s="638" t="s">
        <v>464</v>
      </c>
      <c r="C111" s="311"/>
      <c r="D111" s="638">
        <v>625</v>
      </c>
      <c r="E111" s="305">
        <f>SUMIF(Adjustments!A:A,A111,Adjustments!C:C)</f>
        <v>0</v>
      </c>
      <c r="F111" s="642">
        <f t="shared" si="1"/>
        <v>-625</v>
      </c>
      <c r="G111" s="263" t="str">
        <f>VLOOKUP('Trial Balance'!$A111,'Code Allocation'!$A:$D,3,0)</f>
        <v>CRA</v>
      </c>
      <c r="H111" s="266" t="str">
        <f>VLOOKUP('Trial Balance'!$A111,'Code Allocation'!$A:$D,4,0)</f>
        <v>Parks, gardens &amp; open Spaces</v>
      </c>
      <c r="I111" s="267" t="str">
        <f>VLOOKUP('Trial Balance'!$A111,'Code Allocation'!$A:$E,5,0)</f>
        <v>Customer &amp; Client Receipts</v>
      </c>
      <c r="J111" s="268" t="str">
        <f>VLOOKUP('Trial Balance'!$A111,'Code Allocation'!$A:$F,6,0)</f>
        <v>Wayleave</v>
      </c>
    </row>
    <row r="112" spans="1:256" ht="15" customHeight="1" x14ac:dyDescent="0.3">
      <c r="A112" s="638">
        <v>34410299</v>
      </c>
      <c r="B112" s="638" t="s">
        <v>465</v>
      </c>
      <c r="C112" s="311"/>
      <c r="D112" s="311"/>
      <c r="E112" s="305">
        <f>SUMIF(Adjustments!A:A,A112,Adjustments!C:C)</f>
        <v>0</v>
      </c>
      <c r="F112" s="639">
        <f t="shared" si="1"/>
        <v>0</v>
      </c>
      <c r="G112" s="263" t="str">
        <f>VLOOKUP('Trial Balance'!$A112,'Code Allocation'!$A:$D,3,0)</f>
        <v>CRA</v>
      </c>
      <c r="H112" s="266" t="str">
        <f>VLOOKUP('Trial Balance'!$A112,'Code Allocation'!$A:$D,4,0)</f>
        <v>Parks, gardens &amp; open Spaces</v>
      </c>
      <c r="I112" s="267" t="str">
        <f>VLOOKUP('Trial Balance'!$A112,'Code Allocation'!$A:$E,5,0)</f>
        <v>Customer &amp; Client Receipts</v>
      </c>
      <c r="J112" s="268" t="str">
        <f>VLOOKUP('Trial Balance'!$A112,'Code Allocation'!$A:$F,6,0)</f>
        <v>Grass Cutting</v>
      </c>
    </row>
    <row r="113" spans="1:256" ht="15" customHeight="1" x14ac:dyDescent="0.3">
      <c r="A113" s="638">
        <v>34420299</v>
      </c>
      <c r="B113" s="638" t="s">
        <v>466</v>
      </c>
      <c r="C113" s="311"/>
      <c r="D113" s="638">
        <v>375.1</v>
      </c>
      <c r="E113" s="305">
        <f>SUMIF(Adjustments!A:A,A113,Adjustments!C:C)</f>
        <v>0</v>
      </c>
      <c r="F113" s="639">
        <f t="shared" si="1"/>
        <v>-375.1</v>
      </c>
      <c r="G113" s="263" t="str">
        <f>VLOOKUP('Trial Balance'!$A113,'Code Allocation'!$A:$D,3,0)</f>
        <v>CRA</v>
      </c>
      <c r="H113" s="266" t="str">
        <f>VLOOKUP('Trial Balance'!$A113,'Code Allocation'!$A:$D,4,0)</f>
        <v>Parks, gardens &amp; open Spaces</v>
      </c>
      <c r="I113" s="267" t="str">
        <f>VLOOKUP('Trial Balance'!$A113,'Code Allocation'!$A:$E,5,0)</f>
        <v>Reimbursements &amp; Contributions</v>
      </c>
      <c r="J113" s="268" t="str">
        <f>VLOOKUP('Trial Balance'!$A113,'Code Allocation'!$A:$F,6,0)</f>
        <v>Recharge - Outside Organisations</v>
      </c>
    </row>
    <row r="114" spans="1:256" s="279" customFormat="1" ht="15" customHeight="1" x14ac:dyDescent="0.3">
      <c r="A114" s="638">
        <v>34600199</v>
      </c>
      <c r="B114" s="638" t="s">
        <v>467</v>
      </c>
      <c r="C114" s="311"/>
      <c r="D114" s="638">
        <v>300.68</v>
      </c>
      <c r="E114" s="305">
        <f>SUMIF(Adjustments!A:A,A114,Adjustments!C:C)</f>
        <v>0</v>
      </c>
      <c r="F114" s="642">
        <f t="shared" si="1"/>
        <v>-300.68</v>
      </c>
      <c r="G114" s="263" t="str">
        <f>VLOOKUP('Trial Balance'!$A114,'Code Allocation'!$A:$D,3,0)</f>
        <v>CRA</v>
      </c>
      <c r="H114" s="266" t="str">
        <f>VLOOKUP('Trial Balance'!$A114,'Code Allocation'!$A:$D,4,0)</f>
        <v>Parks, gardens &amp; open Spaces</v>
      </c>
      <c r="I114" s="267" t="str">
        <f>VLOOKUP('Trial Balance'!$A114,'Code Allocation'!$A:$E,5,0)</f>
        <v>Customer &amp; Client Receipts</v>
      </c>
      <c r="J114" s="268" t="str">
        <f>VLOOKUP('Trial Balance'!$A114,'Code Allocation'!$A:$F,6,0)</f>
        <v>Sale of Scrap</v>
      </c>
      <c r="K114" s="263"/>
      <c r="L114" s="263"/>
      <c r="M114" s="263"/>
      <c r="N114" s="263"/>
      <c r="O114" s="263"/>
      <c r="P114" s="263"/>
      <c r="Q114" s="263"/>
      <c r="R114" s="263"/>
      <c r="S114" s="263"/>
      <c r="T114" s="263"/>
      <c r="U114" s="263"/>
      <c r="V114" s="263"/>
      <c r="W114" s="263"/>
      <c r="X114" s="263"/>
      <c r="Y114" s="263"/>
      <c r="Z114" s="263"/>
      <c r="AA114" s="263"/>
      <c r="AB114" s="263"/>
      <c r="AC114" s="263"/>
      <c r="AD114" s="263"/>
      <c r="AE114" s="263"/>
      <c r="AF114" s="263"/>
      <c r="AG114" s="263"/>
      <c r="AH114" s="263"/>
      <c r="AI114" s="263"/>
      <c r="AJ114" s="263"/>
      <c r="AK114" s="263"/>
      <c r="AL114" s="263"/>
      <c r="AM114" s="263"/>
      <c r="AN114" s="263"/>
      <c r="AO114" s="263"/>
      <c r="AP114" s="263"/>
      <c r="AQ114" s="263"/>
      <c r="AR114" s="263"/>
      <c r="AS114" s="263"/>
      <c r="AT114" s="263"/>
      <c r="AU114" s="263"/>
      <c r="AV114" s="263"/>
      <c r="AW114" s="263"/>
      <c r="AX114" s="263"/>
      <c r="AY114" s="263"/>
      <c r="AZ114" s="263"/>
      <c r="BA114" s="263"/>
      <c r="BB114" s="263"/>
      <c r="BC114" s="263"/>
      <c r="BD114" s="263"/>
      <c r="BE114" s="263"/>
      <c r="BF114" s="263"/>
      <c r="BG114" s="263"/>
      <c r="BH114" s="263"/>
      <c r="BI114" s="263"/>
      <c r="BJ114" s="263"/>
      <c r="BK114" s="263"/>
      <c r="BL114" s="263"/>
      <c r="BM114" s="263"/>
      <c r="BN114" s="263"/>
      <c r="BO114" s="263"/>
      <c r="BP114" s="263"/>
      <c r="BQ114" s="263"/>
      <c r="BR114" s="263"/>
      <c r="BS114" s="263"/>
      <c r="BT114" s="263"/>
      <c r="BU114" s="263"/>
      <c r="BV114" s="263"/>
      <c r="BW114" s="263"/>
      <c r="BX114" s="263"/>
      <c r="BY114" s="263"/>
      <c r="BZ114" s="263"/>
      <c r="CA114" s="263"/>
      <c r="CB114" s="263"/>
      <c r="CC114" s="263"/>
      <c r="CD114" s="263"/>
      <c r="CE114" s="263"/>
      <c r="CF114" s="263"/>
      <c r="CG114" s="263"/>
      <c r="CH114" s="263"/>
      <c r="CI114" s="263"/>
      <c r="CJ114" s="263"/>
      <c r="CK114" s="263"/>
      <c r="CL114" s="263"/>
      <c r="CM114" s="263"/>
      <c r="CN114" s="263"/>
      <c r="CO114" s="263"/>
      <c r="CP114" s="263"/>
      <c r="CQ114" s="263"/>
      <c r="CR114" s="263"/>
      <c r="CS114" s="263"/>
      <c r="CT114" s="263"/>
      <c r="CU114" s="263"/>
      <c r="CV114" s="263"/>
      <c r="CW114" s="263"/>
      <c r="CX114" s="263"/>
      <c r="CY114" s="263"/>
      <c r="CZ114" s="263"/>
      <c r="DA114" s="263"/>
      <c r="DB114" s="263"/>
      <c r="DC114" s="263"/>
      <c r="DD114" s="263"/>
      <c r="DE114" s="263"/>
      <c r="DF114" s="263"/>
      <c r="DG114" s="263"/>
      <c r="DH114" s="263"/>
      <c r="DI114" s="263"/>
      <c r="DJ114" s="263"/>
      <c r="DK114" s="263"/>
      <c r="DL114" s="263"/>
      <c r="DM114" s="263"/>
      <c r="DN114" s="263"/>
      <c r="DO114" s="263"/>
      <c r="DP114" s="263"/>
      <c r="DQ114" s="263"/>
      <c r="DR114" s="263"/>
      <c r="DS114" s="263"/>
      <c r="DT114" s="263"/>
      <c r="DU114" s="263"/>
      <c r="DV114" s="263"/>
      <c r="DW114" s="263"/>
      <c r="DX114" s="263"/>
      <c r="DY114" s="263"/>
      <c r="DZ114" s="263"/>
      <c r="EA114" s="263"/>
      <c r="EB114" s="263"/>
      <c r="EC114" s="263"/>
      <c r="ED114" s="263"/>
      <c r="EE114" s="263"/>
      <c r="EF114" s="263"/>
      <c r="EG114" s="263"/>
      <c r="EH114" s="263"/>
      <c r="EI114" s="263"/>
      <c r="EJ114" s="263"/>
      <c r="EK114" s="263"/>
      <c r="EL114" s="263"/>
      <c r="EM114" s="263"/>
      <c r="EN114" s="263"/>
      <c r="EO114" s="263"/>
      <c r="EP114" s="263"/>
      <c r="EQ114" s="263"/>
      <c r="ER114" s="263"/>
      <c r="ES114" s="263"/>
      <c r="ET114" s="263"/>
      <c r="EU114" s="263"/>
      <c r="EV114" s="263"/>
      <c r="EW114" s="263"/>
      <c r="EX114" s="263"/>
      <c r="EY114" s="263"/>
      <c r="EZ114" s="263"/>
      <c r="FA114" s="263"/>
      <c r="FB114" s="263"/>
      <c r="FC114" s="263"/>
      <c r="FD114" s="263"/>
      <c r="FE114" s="263"/>
      <c r="FF114" s="263"/>
      <c r="FG114" s="263"/>
      <c r="FH114" s="263"/>
      <c r="FI114" s="263"/>
      <c r="FJ114" s="263"/>
      <c r="FK114" s="263"/>
      <c r="FL114" s="263"/>
      <c r="FM114" s="263"/>
      <c r="FN114" s="263"/>
      <c r="FO114" s="263"/>
      <c r="FP114" s="263"/>
      <c r="FQ114" s="263"/>
      <c r="FR114" s="263"/>
      <c r="FS114" s="263"/>
      <c r="FT114" s="263"/>
      <c r="FU114" s="263"/>
      <c r="FV114" s="263"/>
      <c r="FW114" s="263"/>
      <c r="FX114" s="263"/>
      <c r="FY114" s="263"/>
      <c r="FZ114" s="263"/>
      <c r="GA114" s="263"/>
      <c r="GB114" s="263"/>
      <c r="GC114" s="263"/>
      <c r="GD114" s="263"/>
      <c r="GE114" s="263"/>
      <c r="GF114" s="263"/>
      <c r="GG114" s="263"/>
      <c r="GH114" s="263"/>
      <c r="GI114" s="263"/>
      <c r="GJ114" s="263"/>
      <c r="GK114" s="263"/>
      <c r="GL114" s="263"/>
      <c r="GM114" s="263"/>
      <c r="GN114" s="263"/>
      <c r="GO114" s="263"/>
      <c r="GP114" s="263"/>
      <c r="GQ114" s="263"/>
      <c r="GR114" s="263"/>
      <c r="GS114" s="263"/>
      <c r="GT114" s="263"/>
      <c r="GU114" s="263"/>
      <c r="GV114" s="263"/>
      <c r="GW114" s="263"/>
      <c r="GX114" s="263"/>
      <c r="GY114" s="263"/>
      <c r="GZ114" s="263"/>
      <c r="HA114" s="263"/>
      <c r="HB114" s="263"/>
      <c r="HC114" s="263"/>
      <c r="HD114" s="263"/>
      <c r="HE114" s="263"/>
      <c r="HF114" s="263"/>
      <c r="HG114" s="263"/>
      <c r="HH114" s="263"/>
      <c r="HI114" s="263"/>
      <c r="HJ114" s="263"/>
      <c r="HK114" s="263"/>
      <c r="HL114" s="263"/>
      <c r="HM114" s="263"/>
      <c r="HN114" s="263"/>
      <c r="HO114" s="263"/>
      <c r="HP114" s="263"/>
      <c r="HQ114" s="263"/>
      <c r="HR114" s="263"/>
      <c r="HS114" s="263"/>
      <c r="HT114" s="263"/>
      <c r="HU114" s="263"/>
      <c r="HV114" s="263"/>
      <c r="HW114" s="263"/>
      <c r="HX114" s="263"/>
      <c r="HY114" s="263"/>
      <c r="HZ114" s="263"/>
      <c r="IA114" s="263"/>
      <c r="IB114" s="263"/>
      <c r="IC114" s="263"/>
      <c r="ID114" s="263"/>
      <c r="IE114" s="263"/>
      <c r="IF114" s="263"/>
      <c r="IG114" s="263"/>
      <c r="IH114" s="263"/>
      <c r="II114" s="263"/>
      <c r="IJ114" s="263"/>
      <c r="IK114" s="263"/>
      <c r="IL114" s="263"/>
      <c r="IM114" s="263"/>
      <c r="IN114" s="263"/>
      <c r="IO114" s="263"/>
      <c r="IP114" s="263"/>
      <c r="IQ114" s="263"/>
      <c r="IR114" s="263"/>
      <c r="IS114" s="263"/>
      <c r="IT114" s="263"/>
      <c r="IU114" s="263"/>
      <c r="IV114" s="263"/>
    </row>
    <row r="115" spans="1:256" s="279" customFormat="1" ht="15" customHeight="1" x14ac:dyDescent="0.3">
      <c r="A115" s="638">
        <v>34980199</v>
      </c>
      <c r="B115" s="638" t="s">
        <v>468</v>
      </c>
      <c r="C115" s="311"/>
      <c r="D115" s="638">
        <v>75</v>
      </c>
      <c r="E115" s="305">
        <f>SUMIF(Adjustments!A:A,A115,Adjustments!C:C)</f>
        <v>0</v>
      </c>
      <c r="F115" s="642">
        <f t="shared" si="1"/>
        <v>-75</v>
      </c>
      <c r="G115" s="263" t="str">
        <f>VLOOKUP('Trial Balance'!$A115,'Code Allocation'!$A:$D,3,0)</f>
        <v>CRA</v>
      </c>
      <c r="H115" s="266" t="str">
        <f>VLOOKUP('Trial Balance'!$A115,'Code Allocation'!$A:$D,4,0)</f>
        <v>Parks, gardens &amp; open Spaces</v>
      </c>
      <c r="I115" s="267" t="str">
        <f>VLOOKUP('Trial Balance'!$A115,'Code Allocation'!$A:$E,5,0)</f>
        <v>Customer &amp; Client Receipts</v>
      </c>
      <c r="J115" s="268" t="str">
        <f>VLOOKUP('Trial Balance'!$A115,'Code Allocation'!$A:$F,6,0)</f>
        <v>Sundry</v>
      </c>
      <c r="K115" s="263"/>
      <c r="L115" s="263"/>
      <c r="M115" s="263"/>
      <c r="N115" s="263"/>
      <c r="O115" s="263"/>
      <c r="P115" s="263"/>
      <c r="Q115" s="263"/>
      <c r="R115" s="263"/>
      <c r="S115" s="263"/>
      <c r="T115" s="263"/>
      <c r="U115" s="263"/>
      <c r="V115" s="263"/>
      <c r="W115" s="263"/>
      <c r="X115" s="263"/>
      <c r="Y115" s="263"/>
      <c r="Z115" s="263"/>
      <c r="AA115" s="263"/>
      <c r="AB115" s="263"/>
      <c r="AC115" s="263"/>
      <c r="AD115" s="263"/>
      <c r="AE115" s="263"/>
      <c r="AF115" s="263"/>
      <c r="AG115" s="263"/>
      <c r="AH115" s="263"/>
      <c r="AI115" s="263"/>
      <c r="AJ115" s="263"/>
      <c r="AK115" s="263"/>
      <c r="AL115" s="263"/>
      <c r="AM115" s="263"/>
      <c r="AN115" s="263"/>
      <c r="AO115" s="263"/>
      <c r="AP115" s="263"/>
      <c r="AQ115" s="263"/>
      <c r="AR115" s="263"/>
      <c r="AS115" s="263"/>
      <c r="AT115" s="263"/>
      <c r="AU115" s="263"/>
      <c r="AV115" s="263"/>
      <c r="AW115" s="263"/>
      <c r="AX115" s="263"/>
      <c r="AY115" s="263"/>
      <c r="AZ115" s="263"/>
      <c r="BA115" s="263"/>
      <c r="BB115" s="263"/>
      <c r="BC115" s="263"/>
      <c r="BD115" s="263"/>
      <c r="BE115" s="263"/>
      <c r="BF115" s="263"/>
      <c r="BG115" s="263"/>
      <c r="BH115" s="263"/>
      <c r="BI115" s="263"/>
      <c r="BJ115" s="263"/>
      <c r="BK115" s="263"/>
      <c r="BL115" s="263"/>
      <c r="BM115" s="263"/>
      <c r="BN115" s="263"/>
      <c r="BO115" s="263"/>
      <c r="BP115" s="263"/>
      <c r="BQ115" s="263"/>
      <c r="BR115" s="263"/>
      <c r="BS115" s="263"/>
      <c r="BT115" s="263"/>
      <c r="BU115" s="263"/>
      <c r="BV115" s="263"/>
      <c r="BW115" s="263"/>
      <c r="BX115" s="263"/>
      <c r="BY115" s="263"/>
      <c r="BZ115" s="263"/>
      <c r="CA115" s="263"/>
      <c r="CB115" s="263"/>
      <c r="CC115" s="263"/>
      <c r="CD115" s="263"/>
      <c r="CE115" s="263"/>
      <c r="CF115" s="263"/>
      <c r="CG115" s="263"/>
      <c r="CH115" s="263"/>
      <c r="CI115" s="263"/>
      <c r="CJ115" s="263"/>
      <c r="CK115" s="263"/>
      <c r="CL115" s="263"/>
      <c r="CM115" s="263"/>
      <c r="CN115" s="263"/>
      <c r="CO115" s="263"/>
      <c r="CP115" s="263"/>
      <c r="CQ115" s="263"/>
      <c r="CR115" s="263"/>
      <c r="CS115" s="263"/>
      <c r="CT115" s="263"/>
      <c r="CU115" s="263"/>
      <c r="CV115" s="263"/>
      <c r="CW115" s="263"/>
      <c r="CX115" s="263"/>
      <c r="CY115" s="263"/>
      <c r="CZ115" s="263"/>
      <c r="DA115" s="263"/>
      <c r="DB115" s="263"/>
      <c r="DC115" s="263"/>
      <c r="DD115" s="263"/>
      <c r="DE115" s="263"/>
      <c r="DF115" s="263"/>
      <c r="DG115" s="263"/>
      <c r="DH115" s="263"/>
      <c r="DI115" s="263"/>
      <c r="DJ115" s="263"/>
      <c r="DK115" s="263"/>
      <c r="DL115" s="263"/>
      <c r="DM115" s="263"/>
      <c r="DN115" s="263"/>
      <c r="DO115" s="263"/>
      <c r="DP115" s="263"/>
      <c r="DQ115" s="263"/>
      <c r="DR115" s="263"/>
      <c r="DS115" s="263"/>
      <c r="DT115" s="263"/>
      <c r="DU115" s="263"/>
      <c r="DV115" s="263"/>
      <c r="DW115" s="263"/>
      <c r="DX115" s="263"/>
      <c r="DY115" s="263"/>
      <c r="DZ115" s="263"/>
      <c r="EA115" s="263"/>
      <c r="EB115" s="263"/>
      <c r="EC115" s="263"/>
      <c r="ED115" s="263"/>
      <c r="EE115" s="263"/>
      <c r="EF115" s="263"/>
      <c r="EG115" s="263"/>
      <c r="EH115" s="263"/>
      <c r="EI115" s="263"/>
      <c r="EJ115" s="263"/>
      <c r="EK115" s="263"/>
      <c r="EL115" s="263"/>
      <c r="EM115" s="263"/>
      <c r="EN115" s="263"/>
      <c r="EO115" s="263"/>
      <c r="EP115" s="263"/>
      <c r="EQ115" s="263"/>
      <c r="ER115" s="263"/>
      <c r="ES115" s="263"/>
      <c r="ET115" s="263"/>
      <c r="EU115" s="263"/>
      <c r="EV115" s="263"/>
      <c r="EW115" s="263"/>
      <c r="EX115" s="263"/>
      <c r="EY115" s="263"/>
      <c r="EZ115" s="263"/>
      <c r="FA115" s="263"/>
      <c r="FB115" s="263"/>
      <c r="FC115" s="263"/>
      <c r="FD115" s="263"/>
      <c r="FE115" s="263"/>
      <c r="FF115" s="263"/>
      <c r="FG115" s="263"/>
      <c r="FH115" s="263"/>
      <c r="FI115" s="263"/>
      <c r="FJ115" s="263"/>
      <c r="FK115" s="263"/>
      <c r="FL115" s="263"/>
      <c r="FM115" s="263"/>
      <c r="FN115" s="263"/>
      <c r="FO115" s="263"/>
      <c r="FP115" s="263"/>
      <c r="FQ115" s="263"/>
      <c r="FR115" s="263"/>
      <c r="FS115" s="263"/>
      <c r="FT115" s="263"/>
      <c r="FU115" s="263"/>
      <c r="FV115" s="263"/>
      <c r="FW115" s="263"/>
      <c r="FX115" s="263"/>
      <c r="FY115" s="263"/>
      <c r="FZ115" s="263"/>
      <c r="GA115" s="263"/>
      <c r="GB115" s="263"/>
      <c r="GC115" s="263"/>
      <c r="GD115" s="263"/>
      <c r="GE115" s="263"/>
      <c r="GF115" s="263"/>
      <c r="GG115" s="263"/>
      <c r="GH115" s="263"/>
      <c r="GI115" s="263"/>
      <c r="GJ115" s="263"/>
      <c r="GK115" s="263"/>
      <c r="GL115" s="263"/>
      <c r="GM115" s="263"/>
      <c r="GN115" s="263"/>
      <c r="GO115" s="263"/>
      <c r="GP115" s="263"/>
      <c r="GQ115" s="263"/>
      <c r="GR115" s="263"/>
      <c r="GS115" s="263"/>
      <c r="GT115" s="263"/>
      <c r="GU115" s="263"/>
      <c r="GV115" s="263"/>
      <c r="GW115" s="263"/>
      <c r="GX115" s="263"/>
      <c r="GY115" s="263"/>
      <c r="GZ115" s="263"/>
      <c r="HA115" s="263"/>
      <c r="HB115" s="263"/>
      <c r="HC115" s="263"/>
      <c r="HD115" s="263"/>
      <c r="HE115" s="263"/>
      <c r="HF115" s="263"/>
      <c r="HG115" s="263"/>
      <c r="HH115" s="263"/>
      <c r="HI115" s="263"/>
      <c r="HJ115" s="263"/>
      <c r="HK115" s="263"/>
      <c r="HL115" s="263"/>
      <c r="HM115" s="263"/>
      <c r="HN115" s="263"/>
      <c r="HO115" s="263"/>
      <c r="HP115" s="263"/>
      <c r="HQ115" s="263"/>
      <c r="HR115" s="263"/>
      <c r="HS115" s="263"/>
      <c r="HT115" s="263"/>
      <c r="HU115" s="263"/>
      <c r="HV115" s="263"/>
      <c r="HW115" s="263"/>
      <c r="HX115" s="263"/>
      <c r="HY115" s="263"/>
      <c r="HZ115" s="263"/>
      <c r="IA115" s="263"/>
      <c r="IB115" s="263"/>
      <c r="IC115" s="263"/>
      <c r="ID115" s="263"/>
      <c r="IE115" s="263"/>
      <c r="IF115" s="263"/>
      <c r="IG115" s="263"/>
      <c r="IH115" s="263"/>
      <c r="II115" s="263"/>
      <c r="IJ115" s="263"/>
      <c r="IK115" s="263"/>
      <c r="IL115" s="263"/>
      <c r="IM115" s="263"/>
      <c r="IN115" s="263"/>
      <c r="IO115" s="263"/>
      <c r="IP115" s="263"/>
      <c r="IQ115" s="263"/>
      <c r="IR115" s="263"/>
      <c r="IS115" s="263"/>
      <c r="IT115" s="263"/>
      <c r="IU115" s="263"/>
      <c r="IV115" s="263"/>
    </row>
    <row r="116" spans="1:256" s="279" customFormat="1" ht="15" customHeight="1" x14ac:dyDescent="0.3">
      <c r="A116" s="638">
        <v>37000199</v>
      </c>
      <c r="B116" s="638" t="s">
        <v>403</v>
      </c>
      <c r="C116" s="640">
        <v>95215.31</v>
      </c>
      <c r="D116" s="311"/>
      <c r="E116" s="305">
        <f>SUMIF(Adjustments!A:A,A116,Adjustments!C:C)</f>
        <v>0</v>
      </c>
      <c r="F116" s="642">
        <f t="shared" si="1"/>
        <v>95215.31</v>
      </c>
      <c r="G116" s="263" t="str">
        <f>VLOOKUP('Trial Balance'!$A116,'Code Allocation'!$A:$D,3,0)</f>
        <v>CRA</v>
      </c>
      <c r="H116" s="266" t="str">
        <f>VLOOKUP('Trial Balance'!$A116,'Code Allocation'!$A:$D,4,0)</f>
        <v>Parks, gardens &amp; open Spaces</v>
      </c>
      <c r="I116" s="267" t="str">
        <f>VLOOKUP('Trial Balance'!$A116,'Code Allocation'!$A:$E,5,0)</f>
        <v>Employees</v>
      </c>
      <c r="J116" s="268" t="str">
        <f>VLOOKUP('Trial Balance'!$A116,'Code Allocation'!$A:$F,6,0)</f>
        <v>Wages</v>
      </c>
      <c r="K116" s="263"/>
      <c r="L116" s="263"/>
      <c r="M116" s="263"/>
      <c r="N116" s="263"/>
      <c r="O116" s="263"/>
      <c r="P116" s="263"/>
      <c r="Q116" s="263"/>
      <c r="R116" s="263"/>
      <c r="S116" s="263"/>
      <c r="T116" s="263"/>
      <c r="U116" s="263"/>
      <c r="V116" s="263"/>
      <c r="W116" s="263"/>
      <c r="X116" s="263"/>
      <c r="Y116" s="263"/>
      <c r="Z116" s="263"/>
      <c r="AA116" s="263"/>
      <c r="AB116" s="263"/>
      <c r="AC116" s="263"/>
      <c r="AD116" s="263"/>
      <c r="AE116" s="263"/>
      <c r="AF116" s="263"/>
      <c r="AG116" s="263"/>
      <c r="AH116" s="263"/>
      <c r="AI116" s="263"/>
      <c r="AJ116" s="263"/>
      <c r="AK116" s="263"/>
      <c r="AL116" s="263"/>
      <c r="AM116" s="263"/>
      <c r="AN116" s="263"/>
      <c r="AO116" s="263"/>
      <c r="AP116" s="263"/>
      <c r="AQ116" s="263"/>
      <c r="AR116" s="263"/>
      <c r="AS116" s="263"/>
      <c r="AT116" s="263"/>
      <c r="AU116" s="263"/>
      <c r="AV116" s="263"/>
      <c r="AW116" s="263"/>
      <c r="AX116" s="263"/>
      <c r="AY116" s="263"/>
      <c r="AZ116" s="263"/>
      <c r="BA116" s="263"/>
      <c r="BB116" s="263"/>
      <c r="BC116" s="263"/>
      <c r="BD116" s="263"/>
      <c r="BE116" s="263"/>
      <c r="BF116" s="263"/>
      <c r="BG116" s="263"/>
      <c r="BH116" s="263"/>
      <c r="BI116" s="263"/>
      <c r="BJ116" s="263"/>
      <c r="BK116" s="263"/>
      <c r="BL116" s="263"/>
      <c r="BM116" s="263"/>
      <c r="BN116" s="263"/>
      <c r="BO116" s="263"/>
      <c r="BP116" s="263"/>
      <c r="BQ116" s="263"/>
      <c r="BR116" s="263"/>
      <c r="BS116" s="263"/>
      <c r="BT116" s="263"/>
      <c r="BU116" s="263"/>
      <c r="BV116" s="263"/>
      <c r="BW116" s="263"/>
      <c r="BX116" s="263"/>
      <c r="BY116" s="263"/>
      <c r="BZ116" s="263"/>
      <c r="CA116" s="263"/>
      <c r="CB116" s="263"/>
      <c r="CC116" s="263"/>
      <c r="CD116" s="263"/>
      <c r="CE116" s="263"/>
      <c r="CF116" s="263"/>
      <c r="CG116" s="263"/>
      <c r="CH116" s="263"/>
      <c r="CI116" s="263"/>
      <c r="CJ116" s="263"/>
      <c r="CK116" s="263"/>
      <c r="CL116" s="263"/>
      <c r="CM116" s="263"/>
      <c r="CN116" s="263"/>
      <c r="CO116" s="263"/>
      <c r="CP116" s="263"/>
      <c r="CQ116" s="263"/>
      <c r="CR116" s="263"/>
      <c r="CS116" s="263"/>
      <c r="CT116" s="263"/>
      <c r="CU116" s="263"/>
      <c r="CV116" s="263"/>
      <c r="CW116" s="263"/>
      <c r="CX116" s="263"/>
      <c r="CY116" s="263"/>
      <c r="CZ116" s="263"/>
      <c r="DA116" s="263"/>
      <c r="DB116" s="263"/>
      <c r="DC116" s="263"/>
      <c r="DD116" s="263"/>
      <c r="DE116" s="263"/>
      <c r="DF116" s="263"/>
      <c r="DG116" s="263"/>
      <c r="DH116" s="263"/>
      <c r="DI116" s="263"/>
      <c r="DJ116" s="263"/>
      <c r="DK116" s="263"/>
      <c r="DL116" s="263"/>
      <c r="DM116" s="263"/>
      <c r="DN116" s="263"/>
      <c r="DO116" s="263"/>
      <c r="DP116" s="263"/>
      <c r="DQ116" s="263"/>
      <c r="DR116" s="263"/>
      <c r="DS116" s="263"/>
      <c r="DT116" s="263"/>
      <c r="DU116" s="263"/>
      <c r="DV116" s="263"/>
      <c r="DW116" s="263"/>
      <c r="DX116" s="263"/>
      <c r="DY116" s="263"/>
      <c r="DZ116" s="263"/>
      <c r="EA116" s="263"/>
      <c r="EB116" s="263"/>
      <c r="EC116" s="263"/>
      <c r="ED116" s="263"/>
      <c r="EE116" s="263"/>
      <c r="EF116" s="263"/>
      <c r="EG116" s="263"/>
      <c r="EH116" s="263"/>
      <c r="EI116" s="263"/>
      <c r="EJ116" s="263"/>
      <c r="EK116" s="263"/>
      <c r="EL116" s="263"/>
      <c r="EM116" s="263"/>
      <c r="EN116" s="263"/>
      <c r="EO116" s="263"/>
      <c r="EP116" s="263"/>
      <c r="EQ116" s="263"/>
      <c r="ER116" s="263"/>
      <c r="ES116" s="263"/>
      <c r="ET116" s="263"/>
      <c r="EU116" s="263"/>
      <c r="EV116" s="263"/>
      <c r="EW116" s="263"/>
      <c r="EX116" s="263"/>
      <c r="EY116" s="263"/>
      <c r="EZ116" s="263"/>
      <c r="FA116" s="263"/>
      <c r="FB116" s="263"/>
      <c r="FC116" s="263"/>
      <c r="FD116" s="263"/>
      <c r="FE116" s="263"/>
      <c r="FF116" s="263"/>
      <c r="FG116" s="263"/>
      <c r="FH116" s="263"/>
      <c r="FI116" s="263"/>
      <c r="FJ116" s="263"/>
      <c r="FK116" s="263"/>
      <c r="FL116" s="263"/>
      <c r="FM116" s="263"/>
      <c r="FN116" s="263"/>
      <c r="FO116" s="263"/>
      <c r="FP116" s="263"/>
      <c r="FQ116" s="263"/>
      <c r="FR116" s="263"/>
      <c r="FS116" s="263"/>
      <c r="FT116" s="263"/>
      <c r="FU116" s="263"/>
      <c r="FV116" s="263"/>
      <c r="FW116" s="263"/>
      <c r="FX116" s="263"/>
      <c r="FY116" s="263"/>
      <c r="FZ116" s="263"/>
      <c r="GA116" s="263"/>
      <c r="GB116" s="263"/>
      <c r="GC116" s="263"/>
      <c r="GD116" s="263"/>
      <c r="GE116" s="263"/>
      <c r="GF116" s="263"/>
      <c r="GG116" s="263"/>
      <c r="GH116" s="263"/>
      <c r="GI116" s="263"/>
      <c r="GJ116" s="263"/>
      <c r="GK116" s="263"/>
      <c r="GL116" s="263"/>
      <c r="GM116" s="263"/>
      <c r="GN116" s="263"/>
      <c r="GO116" s="263"/>
      <c r="GP116" s="263"/>
      <c r="GQ116" s="263"/>
      <c r="GR116" s="263"/>
      <c r="GS116" s="263"/>
      <c r="GT116" s="263"/>
      <c r="GU116" s="263"/>
      <c r="GV116" s="263"/>
      <c r="GW116" s="263"/>
      <c r="GX116" s="263"/>
      <c r="GY116" s="263"/>
      <c r="GZ116" s="263"/>
      <c r="HA116" s="263"/>
      <c r="HB116" s="263"/>
      <c r="HC116" s="263"/>
      <c r="HD116" s="263"/>
      <c r="HE116" s="263"/>
      <c r="HF116" s="263"/>
      <c r="HG116" s="263"/>
      <c r="HH116" s="263"/>
      <c r="HI116" s="263"/>
      <c r="HJ116" s="263"/>
      <c r="HK116" s="263"/>
      <c r="HL116" s="263"/>
      <c r="HM116" s="263"/>
      <c r="HN116" s="263"/>
      <c r="HO116" s="263"/>
      <c r="HP116" s="263"/>
      <c r="HQ116" s="263"/>
      <c r="HR116" s="263"/>
      <c r="HS116" s="263"/>
      <c r="HT116" s="263"/>
      <c r="HU116" s="263"/>
      <c r="HV116" s="263"/>
      <c r="HW116" s="263"/>
      <c r="HX116" s="263"/>
      <c r="HY116" s="263"/>
      <c r="HZ116" s="263"/>
      <c r="IA116" s="263"/>
      <c r="IB116" s="263"/>
      <c r="IC116" s="263"/>
      <c r="ID116" s="263"/>
      <c r="IE116" s="263"/>
      <c r="IF116" s="263"/>
      <c r="IG116" s="263"/>
      <c r="IH116" s="263"/>
      <c r="II116" s="263"/>
      <c r="IJ116" s="263"/>
      <c r="IK116" s="263"/>
      <c r="IL116" s="263"/>
      <c r="IM116" s="263"/>
      <c r="IN116" s="263"/>
      <c r="IO116" s="263"/>
      <c r="IP116" s="263"/>
      <c r="IQ116" s="263"/>
      <c r="IR116" s="263"/>
      <c r="IS116" s="263"/>
      <c r="IT116" s="263"/>
      <c r="IU116" s="263"/>
      <c r="IV116" s="263"/>
    </row>
    <row r="117" spans="1:256" s="279" customFormat="1" ht="15" customHeight="1" x14ac:dyDescent="0.3">
      <c r="A117" s="638">
        <v>37020199</v>
      </c>
      <c r="B117" s="638" t="s">
        <v>404</v>
      </c>
      <c r="C117" s="640">
        <v>5578.37</v>
      </c>
      <c r="D117" s="311"/>
      <c r="E117" s="305">
        <f>SUMIF(Adjustments!A:A,A117,Adjustments!C:C)</f>
        <v>0</v>
      </c>
      <c r="F117" s="642">
        <f>C117-D117+E117</f>
        <v>5578.37</v>
      </c>
      <c r="G117" s="263" t="str">
        <f>VLOOKUP('Trial Balance'!$A117,'Code Allocation'!$A:$D,3,0)</f>
        <v>CRA</v>
      </c>
      <c r="H117" s="266" t="str">
        <f>VLOOKUP('Trial Balance'!$A117,'Code Allocation'!$A:$D,4,0)</f>
        <v>Parks, gardens &amp; open Spaces</v>
      </c>
      <c r="I117" s="267" t="str">
        <f>VLOOKUP('Trial Balance'!$A117,'Code Allocation'!$A:$E,5,0)</f>
        <v>Employees</v>
      </c>
      <c r="J117" s="268" t="str">
        <f>VLOOKUP('Trial Balance'!$A117,'Code Allocation'!$A:$F,6,0)</f>
        <v>Employers National Insurance</v>
      </c>
      <c r="K117" s="263"/>
      <c r="L117" s="263"/>
      <c r="M117" s="263"/>
      <c r="N117" s="263"/>
      <c r="O117" s="263"/>
      <c r="P117" s="263"/>
      <c r="Q117" s="263"/>
      <c r="R117" s="263"/>
      <c r="S117" s="263"/>
      <c r="T117" s="263"/>
      <c r="U117" s="263"/>
      <c r="V117" s="263"/>
      <c r="W117" s="263"/>
      <c r="X117" s="263"/>
      <c r="Y117" s="263"/>
      <c r="Z117" s="263"/>
      <c r="AA117" s="263"/>
      <c r="AB117" s="263"/>
      <c r="AC117" s="263"/>
      <c r="AD117" s="263"/>
      <c r="AE117" s="263"/>
      <c r="AF117" s="263"/>
      <c r="AG117" s="263"/>
      <c r="AH117" s="263"/>
      <c r="AI117" s="263"/>
      <c r="AJ117" s="263"/>
      <c r="AK117" s="263"/>
      <c r="AL117" s="263"/>
      <c r="AM117" s="263"/>
      <c r="AN117" s="263"/>
      <c r="AO117" s="263"/>
      <c r="AP117" s="263"/>
      <c r="AQ117" s="263"/>
      <c r="AR117" s="263"/>
      <c r="AS117" s="263"/>
      <c r="AT117" s="263"/>
      <c r="AU117" s="263"/>
      <c r="AV117" s="263"/>
      <c r="AW117" s="263"/>
      <c r="AX117" s="263"/>
      <c r="AY117" s="263"/>
      <c r="AZ117" s="263"/>
      <c r="BA117" s="263"/>
      <c r="BB117" s="263"/>
      <c r="BC117" s="263"/>
      <c r="BD117" s="263"/>
      <c r="BE117" s="263"/>
      <c r="BF117" s="263"/>
      <c r="BG117" s="263"/>
      <c r="BH117" s="263"/>
      <c r="BI117" s="263"/>
      <c r="BJ117" s="263"/>
      <c r="BK117" s="263"/>
      <c r="BL117" s="263"/>
      <c r="BM117" s="263"/>
      <c r="BN117" s="263"/>
      <c r="BO117" s="263"/>
      <c r="BP117" s="263"/>
      <c r="BQ117" s="263"/>
      <c r="BR117" s="263"/>
      <c r="BS117" s="263"/>
      <c r="BT117" s="263"/>
      <c r="BU117" s="263"/>
      <c r="BV117" s="263"/>
      <c r="BW117" s="263"/>
      <c r="BX117" s="263"/>
      <c r="BY117" s="263"/>
      <c r="BZ117" s="263"/>
      <c r="CA117" s="263"/>
      <c r="CB117" s="263"/>
      <c r="CC117" s="263"/>
      <c r="CD117" s="263"/>
      <c r="CE117" s="263"/>
      <c r="CF117" s="263"/>
      <c r="CG117" s="263"/>
      <c r="CH117" s="263"/>
      <c r="CI117" s="263"/>
      <c r="CJ117" s="263"/>
      <c r="CK117" s="263"/>
      <c r="CL117" s="263"/>
      <c r="CM117" s="263"/>
      <c r="CN117" s="263"/>
      <c r="CO117" s="263"/>
      <c r="CP117" s="263"/>
      <c r="CQ117" s="263"/>
      <c r="CR117" s="263"/>
      <c r="CS117" s="263"/>
      <c r="CT117" s="263"/>
      <c r="CU117" s="263"/>
      <c r="CV117" s="263"/>
      <c r="CW117" s="263"/>
      <c r="CX117" s="263"/>
      <c r="CY117" s="263"/>
      <c r="CZ117" s="263"/>
      <c r="DA117" s="263"/>
      <c r="DB117" s="263"/>
      <c r="DC117" s="263"/>
      <c r="DD117" s="263"/>
      <c r="DE117" s="263"/>
      <c r="DF117" s="263"/>
      <c r="DG117" s="263"/>
      <c r="DH117" s="263"/>
      <c r="DI117" s="263"/>
      <c r="DJ117" s="263"/>
      <c r="DK117" s="263"/>
      <c r="DL117" s="263"/>
      <c r="DM117" s="263"/>
      <c r="DN117" s="263"/>
      <c r="DO117" s="263"/>
      <c r="DP117" s="263"/>
      <c r="DQ117" s="263"/>
      <c r="DR117" s="263"/>
      <c r="DS117" s="263"/>
      <c r="DT117" s="263"/>
      <c r="DU117" s="263"/>
      <c r="DV117" s="263"/>
      <c r="DW117" s="263"/>
      <c r="DX117" s="263"/>
      <c r="DY117" s="263"/>
      <c r="DZ117" s="263"/>
      <c r="EA117" s="263"/>
      <c r="EB117" s="263"/>
      <c r="EC117" s="263"/>
      <c r="ED117" s="263"/>
      <c r="EE117" s="263"/>
      <c r="EF117" s="263"/>
      <c r="EG117" s="263"/>
      <c r="EH117" s="263"/>
      <c r="EI117" s="263"/>
      <c r="EJ117" s="263"/>
      <c r="EK117" s="263"/>
      <c r="EL117" s="263"/>
      <c r="EM117" s="263"/>
      <c r="EN117" s="263"/>
      <c r="EO117" s="263"/>
      <c r="EP117" s="263"/>
      <c r="EQ117" s="263"/>
      <c r="ER117" s="263"/>
      <c r="ES117" s="263"/>
      <c r="ET117" s="263"/>
      <c r="EU117" s="263"/>
      <c r="EV117" s="263"/>
      <c r="EW117" s="263"/>
      <c r="EX117" s="263"/>
      <c r="EY117" s="263"/>
      <c r="EZ117" s="263"/>
      <c r="FA117" s="263"/>
      <c r="FB117" s="263"/>
      <c r="FC117" s="263"/>
      <c r="FD117" s="263"/>
      <c r="FE117" s="263"/>
      <c r="FF117" s="263"/>
      <c r="FG117" s="263"/>
      <c r="FH117" s="263"/>
      <c r="FI117" s="263"/>
      <c r="FJ117" s="263"/>
      <c r="FK117" s="263"/>
      <c r="FL117" s="263"/>
      <c r="FM117" s="263"/>
      <c r="FN117" s="263"/>
      <c r="FO117" s="263"/>
      <c r="FP117" s="263"/>
      <c r="FQ117" s="263"/>
      <c r="FR117" s="263"/>
      <c r="FS117" s="263"/>
      <c r="FT117" s="263"/>
      <c r="FU117" s="263"/>
      <c r="FV117" s="263"/>
      <c r="FW117" s="263"/>
      <c r="FX117" s="263"/>
      <c r="FY117" s="263"/>
      <c r="FZ117" s="263"/>
      <c r="GA117" s="263"/>
      <c r="GB117" s="263"/>
      <c r="GC117" s="263"/>
      <c r="GD117" s="263"/>
      <c r="GE117" s="263"/>
      <c r="GF117" s="263"/>
      <c r="GG117" s="263"/>
      <c r="GH117" s="263"/>
      <c r="GI117" s="263"/>
      <c r="GJ117" s="263"/>
      <c r="GK117" s="263"/>
      <c r="GL117" s="263"/>
      <c r="GM117" s="263"/>
      <c r="GN117" s="263"/>
      <c r="GO117" s="263"/>
      <c r="GP117" s="263"/>
      <c r="GQ117" s="263"/>
      <c r="GR117" s="263"/>
      <c r="GS117" s="263"/>
      <c r="GT117" s="263"/>
      <c r="GU117" s="263"/>
      <c r="GV117" s="263"/>
      <c r="GW117" s="263"/>
      <c r="GX117" s="263"/>
      <c r="GY117" s="263"/>
      <c r="GZ117" s="263"/>
      <c r="HA117" s="263"/>
      <c r="HB117" s="263"/>
      <c r="HC117" s="263"/>
      <c r="HD117" s="263"/>
      <c r="HE117" s="263"/>
      <c r="HF117" s="263"/>
      <c r="HG117" s="263"/>
      <c r="HH117" s="263"/>
      <c r="HI117" s="263"/>
      <c r="HJ117" s="263"/>
      <c r="HK117" s="263"/>
      <c r="HL117" s="263"/>
      <c r="HM117" s="263"/>
      <c r="HN117" s="263"/>
      <c r="HO117" s="263"/>
      <c r="HP117" s="263"/>
      <c r="HQ117" s="263"/>
      <c r="HR117" s="263"/>
      <c r="HS117" s="263"/>
      <c r="HT117" s="263"/>
      <c r="HU117" s="263"/>
      <c r="HV117" s="263"/>
      <c r="HW117" s="263"/>
      <c r="HX117" s="263"/>
      <c r="HY117" s="263"/>
      <c r="HZ117" s="263"/>
      <c r="IA117" s="263"/>
      <c r="IB117" s="263"/>
      <c r="IC117" s="263"/>
      <c r="ID117" s="263"/>
      <c r="IE117" s="263"/>
      <c r="IF117" s="263"/>
      <c r="IG117" s="263"/>
      <c r="IH117" s="263"/>
      <c r="II117" s="263"/>
      <c r="IJ117" s="263"/>
      <c r="IK117" s="263"/>
      <c r="IL117" s="263"/>
      <c r="IM117" s="263"/>
      <c r="IN117" s="263"/>
      <c r="IO117" s="263"/>
      <c r="IP117" s="263"/>
      <c r="IQ117" s="263"/>
      <c r="IR117" s="263"/>
      <c r="IS117" s="263"/>
      <c r="IT117" s="263"/>
      <c r="IU117" s="263"/>
      <c r="IV117" s="263"/>
    </row>
    <row r="118" spans="1:256" ht="15" customHeight="1" x14ac:dyDescent="0.3">
      <c r="A118" s="638">
        <v>37030199</v>
      </c>
      <c r="B118" s="638" t="s">
        <v>405</v>
      </c>
      <c r="C118" s="640">
        <v>10257.620000000001</v>
      </c>
      <c r="D118" s="311"/>
      <c r="E118" s="305">
        <f>SUMIF(Adjustments!A:A,A118,Adjustments!C:C)</f>
        <v>0</v>
      </c>
      <c r="F118" s="642">
        <f t="shared" si="1"/>
        <v>10257.620000000001</v>
      </c>
      <c r="G118" s="263" t="str">
        <f>VLOOKUP('Trial Balance'!$A118,'Code Allocation'!$A:$D,3,0)</f>
        <v>CRA</v>
      </c>
      <c r="H118" s="266" t="str">
        <f>VLOOKUP('Trial Balance'!$A118,'Code Allocation'!$A:$D,4,0)</f>
        <v>Parks, gardens &amp; open Spaces</v>
      </c>
      <c r="I118" s="267" t="str">
        <f>VLOOKUP('Trial Balance'!$A118,'Code Allocation'!$A:$E,5,0)</f>
        <v>Employees</v>
      </c>
      <c r="J118" s="268" t="str">
        <f>VLOOKUP('Trial Balance'!$A118,'Code Allocation'!$A:$F,6,0)</f>
        <v>Employers Superannuation</v>
      </c>
    </row>
    <row r="119" spans="1:256" ht="15" customHeight="1" x14ac:dyDescent="0.3">
      <c r="A119" s="638">
        <v>37040199</v>
      </c>
      <c r="B119" s="638" t="s">
        <v>469</v>
      </c>
      <c r="C119" s="638">
        <v>600</v>
      </c>
      <c r="D119" s="311"/>
      <c r="E119" s="305">
        <f>SUMIF(Adjustments!A:A,A119,Adjustments!C:C)</f>
        <v>0</v>
      </c>
      <c r="F119" s="642">
        <f t="shared" si="1"/>
        <v>600</v>
      </c>
      <c r="G119" s="263" t="str">
        <f>VLOOKUP('Trial Balance'!$A119,'Code Allocation'!$A:$D,3,0)</f>
        <v>CRA</v>
      </c>
      <c r="H119" s="266" t="str">
        <f>VLOOKUP('Trial Balance'!$A119,'Code Allocation'!$A:$D,4,0)</f>
        <v>Parks, gardens &amp; open Spaces</v>
      </c>
      <c r="I119" s="267" t="str">
        <f>VLOOKUP('Trial Balance'!$A119,'Code Allocation'!$A:$E,5,0)</f>
        <v>Transport related expenses</v>
      </c>
      <c r="J119" s="268" t="str">
        <f>VLOOKUP('Trial Balance'!$A119,'Code Allocation'!$A:$F,6,0)</f>
        <v>Travelling &amp; Subsistence</v>
      </c>
    </row>
    <row r="120" spans="1:256" ht="15" customHeight="1" x14ac:dyDescent="0.3">
      <c r="A120" s="638">
        <v>37050199</v>
      </c>
      <c r="B120" s="638" t="s">
        <v>470</v>
      </c>
      <c r="C120" s="638">
        <v>930</v>
      </c>
      <c r="D120" s="311"/>
      <c r="E120" s="305">
        <f>SUMIF(Adjustments!A:A,A120,Adjustments!C:C)</f>
        <v>0</v>
      </c>
      <c r="F120" s="642">
        <f t="shared" si="1"/>
        <v>930</v>
      </c>
      <c r="G120" s="263" t="str">
        <f>VLOOKUP('Trial Balance'!$A120,'Code Allocation'!$A:$D,3,0)</f>
        <v>CRA</v>
      </c>
      <c r="H120" s="266" t="str">
        <f>VLOOKUP('Trial Balance'!$A120,'Code Allocation'!$A:$D,4,0)</f>
        <v>Parks, gardens &amp; open Spaces</v>
      </c>
      <c r="I120" s="267" t="str">
        <f>VLOOKUP('Trial Balance'!$A120,'Code Allocation'!$A:$E,5,0)</f>
        <v>Employees</v>
      </c>
      <c r="J120" s="268" t="str">
        <f>VLOOKUP('Trial Balance'!$A120,'Code Allocation'!$A:$F,6,0)</f>
        <v>Training Courses</v>
      </c>
    </row>
    <row r="121" spans="1:256" ht="15" customHeight="1" x14ac:dyDescent="0.3">
      <c r="A121" s="638">
        <v>37060199</v>
      </c>
      <c r="B121" s="638" t="s">
        <v>407</v>
      </c>
      <c r="C121" s="638">
        <v>457.53</v>
      </c>
      <c r="D121" s="311"/>
      <c r="E121" s="305">
        <f>SUMIF(Adjustments!A:A,A121,Adjustments!C:C)</f>
        <v>0</v>
      </c>
      <c r="F121" s="642">
        <f t="shared" si="1"/>
        <v>457.53</v>
      </c>
      <c r="G121" s="263" t="str">
        <f>VLOOKUP('Trial Balance'!$A121,'Code Allocation'!$A:$D,3,0)</f>
        <v>CRA</v>
      </c>
      <c r="H121" s="266" t="str">
        <f>VLOOKUP('Trial Balance'!$A121,'Code Allocation'!$A:$D,4,0)</f>
        <v>Parks, gardens &amp; open Spaces</v>
      </c>
      <c r="I121" s="267" t="str">
        <f>VLOOKUP('Trial Balance'!$A121,'Code Allocation'!$A:$E,5,0)</f>
        <v>Supplies and Services</v>
      </c>
      <c r="J121" s="268" t="str">
        <f>VLOOKUP('Trial Balance'!$A121,'Code Allocation'!$A:$F,6,0)</f>
        <v>Protective Clothing</v>
      </c>
    </row>
    <row r="122" spans="1:256" ht="15" customHeight="1" x14ac:dyDescent="0.3">
      <c r="A122" s="638">
        <v>37100126</v>
      </c>
      <c r="B122" s="638" t="s">
        <v>471</v>
      </c>
      <c r="C122" s="638">
        <v>38.04</v>
      </c>
      <c r="D122" s="311"/>
      <c r="E122" s="305">
        <f>SUMIF(Adjustments!A:A,A122,Adjustments!C:C)</f>
        <v>401.83</v>
      </c>
      <c r="F122" s="639">
        <f>C122-D122+E122</f>
        <v>439.87</v>
      </c>
      <c r="G122" s="263" t="str">
        <f>VLOOKUP('Trial Balance'!$A122,'Code Allocation'!$A:$D,3,0)</f>
        <v>CRA</v>
      </c>
      <c r="H122" s="266" t="str">
        <f>VLOOKUP('Trial Balance'!$A122,'Code Allocation'!$A:$D,4,0)</f>
        <v>Parks, gardens &amp; open Spaces</v>
      </c>
      <c r="I122" s="267" t="str">
        <f>VLOOKUP('Trial Balance'!$A122,'Code Allocation'!$A:$E,5,0)</f>
        <v>Premises Related Expenses</v>
      </c>
      <c r="J122" s="268" t="str">
        <f>VLOOKUP('Trial Balance'!$A122,'Code Allocation'!$A:$F,6,0)</f>
        <v>Gas</v>
      </c>
    </row>
    <row r="123" spans="1:256" ht="15" customHeight="1" x14ac:dyDescent="0.3">
      <c r="A123" s="638">
        <v>37100128</v>
      </c>
      <c r="B123" s="638" t="s">
        <v>472</v>
      </c>
      <c r="C123" s="638">
        <v>200.02</v>
      </c>
      <c r="D123" s="311"/>
      <c r="E123" s="305">
        <f>SUMIF(Adjustments!A:A,A123,Adjustments!C:C)</f>
        <v>0</v>
      </c>
      <c r="F123" s="642">
        <f t="shared" si="1"/>
        <v>200.02</v>
      </c>
      <c r="G123" s="263" t="str">
        <f>VLOOKUP('Trial Balance'!$A123,'Code Allocation'!$A:$D,3,0)</f>
        <v>CRA</v>
      </c>
      <c r="H123" s="266" t="str">
        <f>VLOOKUP('Trial Balance'!$A123,'Code Allocation'!$A:$D,4,0)</f>
        <v>Parks, gardens &amp; open Spaces</v>
      </c>
      <c r="I123" s="267" t="str">
        <f>VLOOKUP('Trial Balance'!$A123,'Code Allocation'!$A:$E,5,0)</f>
        <v>Premises Related Expenses</v>
      </c>
      <c r="J123" s="268" t="str">
        <f>VLOOKUP('Trial Balance'!$A123,'Code Allocation'!$A:$F,6,0)</f>
        <v>Gas</v>
      </c>
    </row>
    <row r="124" spans="1:256" ht="15" customHeight="1" x14ac:dyDescent="0.3">
      <c r="A124" s="638">
        <v>37110115</v>
      </c>
      <c r="B124" s="638" t="s">
        <v>473</v>
      </c>
      <c r="C124" s="640">
        <v>1013.32</v>
      </c>
      <c r="D124" s="311"/>
      <c r="E124" s="305">
        <f>SUMIF(Adjustments!A:A,A124,Adjustments!C:C)</f>
        <v>0</v>
      </c>
      <c r="F124" s="642">
        <f t="shared" si="1"/>
        <v>1013.32</v>
      </c>
      <c r="G124" s="263" t="str">
        <f>VLOOKUP('Trial Balance'!$A124,'Code Allocation'!$A:$D,3,0)</f>
        <v>CRA</v>
      </c>
      <c r="H124" s="266" t="str">
        <f>VLOOKUP('Trial Balance'!$A124,'Code Allocation'!$A:$D,4,0)</f>
        <v>Parks, gardens &amp; open Spaces</v>
      </c>
      <c r="I124" s="267" t="str">
        <f>VLOOKUP('Trial Balance'!$A124,'Code Allocation'!$A:$E,5,0)</f>
        <v>Premises Related Expenses</v>
      </c>
      <c r="J124" s="268" t="str">
        <f>VLOOKUP('Trial Balance'!$A124,'Code Allocation'!$A:$F,6,0)</f>
        <v>Electricity</v>
      </c>
    </row>
    <row r="125" spans="1:256" ht="15" customHeight="1" x14ac:dyDescent="0.3">
      <c r="A125" s="638">
        <v>37110120</v>
      </c>
      <c r="B125" s="638" t="s">
        <v>474</v>
      </c>
      <c r="C125" s="638">
        <v>643.45000000000005</v>
      </c>
      <c r="D125" s="311"/>
      <c r="E125" s="305">
        <f>SUMIF(Adjustments!A:A,A125,Adjustments!C:C)</f>
        <v>0</v>
      </c>
      <c r="F125" s="642">
        <f t="shared" si="1"/>
        <v>643.45000000000005</v>
      </c>
      <c r="G125" s="263" t="str">
        <f>VLOOKUP('Trial Balance'!$A125,'Code Allocation'!$A:$D,3,0)</f>
        <v>CRA</v>
      </c>
      <c r="H125" s="266" t="str">
        <f>VLOOKUP('Trial Balance'!$A125,'Code Allocation'!$A:$D,4,0)</f>
        <v>Parks, gardens &amp; open Spaces</v>
      </c>
      <c r="I125" s="267" t="str">
        <f>VLOOKUP('Trial Balance'!$A125,'Code Allocation'!$A:$E,5,0)</f>
        <v>Premises Related Expenses</v>
      </c>
      <c r="J125" s="268" t="str">
        <f>VLOOKUP('Trial Balance'!$A125,'Code Allocation'!$A:$F,6,0)</f>
        <v>Electricity</v>
      </c>
    </row>
    <row r="126" spans="1:256" ht="15" customHeight="1" x14ac:dyDescent="0.3">
      <c r="A126" s="638">
        <v>37110123</v>
      </c>
      <c r="B126" s="638" t="s">
        <v>475</v>
      </c>
      <c r="C126" s="638">
        <v>39.19</v>
      </c>
      <c r="D126" s="311"/>
      <c r="E126" s="305">
        <f>SUMIF(Adjustments!A:A,A126,Adjustments!C:C)</f>
        <v>0</v>
      </c>
      <c r="F126" s="639">
        <f t="shared" si="1"/>
        <v>39.19</v>
      </c>
      <c r="G126" s="263" t="str">
        <f>VLOOKUP('Trial Balance'!$A126,'Code Allocation'!$A:$D,3,0)</f>
        <v>CRA</v>
      </c>
      <c r="H126" s="266" t="str">
        <f>VLOOKUP('Trial Balance'!$A126,'Code Allocation'!$A:$D,4,0)</f>
        <v>Parks, gardens &amp; open Spaces</v>
      </c>
      <c r="I126" s="267" t="str">
        <f>VLOOKUP('Trial Balance'!$A126,'Code Allocation'!$A:$E,5,0)</f>
        <v>Premises Related Expenses</v>
      </c>
      <c r="J126" s="268" t="str">
        <f>VLOOKUP('Trial Balance'!$A126,'Code Allocation'!$A:$F,6,0)</f>
        <v>Electricity</v>
      </c>
    </row>
    <row r="127" spans="1:256" ht="15" customHeight="1" x14ac:dyDescent="0.3">
      <c r="A127" s="638">
        <v>37110124</v>
      </c>
      <c r="B127" s="638" t="s">
        <v>476</v>
      </c>
      <c r="C127" s="638">
        <v>43.77</v>
      </c>
      <c r="D127" s="311"/>
      <c r="E127" s="305">
        <f>SUMIF(Adjustments!A:A,A127,Adjustments!C:C)</f>
        <v>0</v>
      </c>
      <c r="F127" s="639">
        <f t="shared" si="1"/>
        <v>43.77</v>
      </c>
      <c r="G127" s="263" t="str">
        <f>VLOOKUP('Trial Balance'!$A127,'Code Allocation'!$A:$D,3,0)</f>
        <v>CRA</v>
      </c>
      <c r="H127" s="266" t="str">
        <f>VLOOKUP('Trial Balance'!$A127,'Code Allocation'!$A:$D,4,0)</f>
        <v>Parks, gardens &amp; open Spaces</v>
      </c>
      <c r="I127" s="267" t="str">
        <f>VLOOKUP('Trial Balance'!$A127,'Code Allocation'!$A:$E,5,0)</f>
        <v>Premises Related Expenses</v>
      </c>
      <c r="J127" s="268" t="str">
        <f>VLOOKUP('Trial Balance'!$A127,'Code Allocation'!$A:$F,6,0)</f>
        <v>Electricity</v>
      </c>
    </row>
    <row r="128" spans="1:256" ht="15" customHeight="1" x14ac:dyDescent="0.3">
      <c r="A128" s="638">
        <v>37110125</v>
      </c>
      <c r="B128" s="638" t="s">
        <v>477</v>
      </c>
      <c r="C128" s="638">
        <v>456.8</v>
      </c>
      <c r="D128" s="311"/>
      <c r="E128" s="305">
        <f>SUMIF(Adjustments!A:A,A128,Adjustments!C:C)</f>
        <v>0</v>
      </c>
      <c r="F128" s="639">
        <f t="shared" si="1"/>
        <v>456.8</v>
      </c>
      <c r="G128" s="263" t="str">
        <f>VLOOKUP('Trial Balance'!$A128,'Code Allocation'!$A:$D,3,0)</f>
        <v>CRA</v>
      </c>
      <c r="H128" s="266" t="str">
        <f>VLOOKUP('Trial Balance'!$A128,'Code Allocation'!$A:$D,4,0)</f>
        <v>Parks, gardens &amp; open Spaces</v>
      </c>
      <c r="I128" s="267" t="str">
        <f>VLOOKUP('Trial Balance'!$A128,'Code Allocation'!$A:$E,5,0)</f>
        <v>Premises Related Expenses</v>
      </c>
      <c r="J128" s="268" t="str">
        <f>VLOOKUP('Trial Balance'!$A128,'Code Allocation'!$A:$F,6,0)</f>
        <v>Electricity</v>
      </c>
    </row>
    <row r="129" spans="1:10" ht="15" customHeight="1" x14ac:dyDescent="0.3">
      <c r="A129" s="638">
        <v>37110126</v>
      </c>
      <c r="B129" s="638" t="s">
        <v>478</v>
      </c>
      <c r="C129" s="311"/>
      <c r="D129" s="638">
        <v>0.37</v>
      </c>
      <c r="E129" s="305">
        <f>SUMIF(Adjustments!A:A,A129,Adjustments!C:C)</f>
        <v>0</v>
      </c>
      <c r="F129" s="639">
        <f t="shared" si="1"/>
        <v>-0.37</v>
      </c>
      <c r="G129" s="263" t="str">
        <f>VLOOKUP('Trial Balance'!$A129,'Code Allocation'!$A:$D,3,0)</f>
        <v>CRA</v>
      </c>
      <c r="H129" s="266" t="str">
        <f>VLOOKUP('Trial Balance'!$A129,'Code Allocation'!$A:$D,4,0)</f>
        <v>Parks, gardens &amp; open Spaces</v>
      </c>
      <c r="I129" s="267" t="str">
        <f>VLOOKUP('Trial Balance'!$A129,'Code Allocation'!$A:$E,5,0)</f>
        <v>Premises Related Expenses</v>
      </c>
      <c r="J129" s="268" t="str">
        <f>VLOOKUP('Trial Balance'!$A129,'Code Allocation'!$A:$F,6,0)</f>
        <v>Electricity</v>
      </c>
    </row>
    <row r="130" spans="1:10" ht="15" customHeight="1" x14ac:dyDescent="0.3">
      <c r="A130" s="643">
        <v>37110128</v>
      </c>
      <c r="B130" s="638" t="s">
        <v>479</v>
      </c>
      <c r="C130" s="311"/>
      <c r="D130" s="638">
        <v>657.99</v>
      </c>
      <c r="E130" s="305">
        <f>SUMIF(Adjustments!A:A,A130,Adjustments!C:C)</f>
        <v>0</v>
      </c>
      <c r="F130" s="639">
        <f t="shared" si="1"/>
        <v>-657.99</v>
      </c>
      <c r="G130" s="263" t="str">
        <f>VLOOKUP('Trial Balance'!$A130,'Code Allocation'!$A:$D,3,0)</f>
        <v>CRA</v>
      </c>
      <c r="H130" s="266" t="str">
        <f>VLOOKUP('Trial Balance'!$A130,'Code Allocation'!$A:$D,4,0)</f>
        <v>Parks, gardens &amp; open Spaces</v>
      </c>
      <c r="I130" s="267" t="str">
        <f>VLOOKUP('Trial Balance'!$A130,'Code Allocation'!$A:$E,5,0)</f>
        <v>Premises Related Expenses</v>
      </c>
      <c r="J130" s="268" t="str">
        <f>VLOOKUP('Trial Balance'!$A130,'Code Allocation'!$A:$F,6,0)</f>
        <v>Electricity</v>
      </c>
    </row>
    <row r="131" spans="1:10" ht="15" customHeight="1" x14ac:dyDescent="0.3">
      <c r="A131" s="638">
        <v>37110166</v>
      </c>
      <c r="B131" s="638" t="s">
        <v>480</v>
      </c>
      <c r="C131" s="311"/>
      <c r="D131" s="638">
        <v>483.04</v>
      </c>
      <c r="E131" s="305">
        <f>SUMIF(Adjustments!A:A,A131,Adjustments!C:C)</f>
        <v>0</v>
      </c>
      <c r="F131" s="639">
        <f t="shared" si="1"/>
        <v>-483.04</v>
      </c>
      <c r="G131" s="263" t="str">
        <f>VLOOKUP('Trial Balance'!$A131,'Code Allocation'!$A:$D,3,0)</f>
        <v>CRA</v>
      </c>
      <c r="H131" s="266" t="str">
        <f>VLOOKUP('Trial Balance'!$A131,'Code Allocation'!$A:$D,4,0)</f>
        <v>Parks, gardens &amp; open Spaces</v>
      </c>
      <c r="I131" s="267" t="str">
        <f>VLOOKUP('Trial Balance'!$A131,'Code Allocation'!$A:$E,5,0)</f>
        <v>Premises Related Expenses</v>
      </c>
      <c r="J131" s="268" t="str">
        <f>VLOOKUP('Trial Balance'!$A131,'Code Allocation'!$A:$F,6,0)</f>
        <v>Electricity</v>
      </c>
    </row>
    <row r="132" spans="1:10" ht="15" customHeight="1" x14ac:dyDescent="0.3">
      <c r="A132" s="638">
        <v>37110199</v>
      </c>
      <c r="B132" s="638" t="s">
        <v>481</v>
      </c>
      <c r="C132" s="638">
        <v>39.979999999999997</v>
      </c>
      <c r="D132" s="311"/>
      <c r="E132" s="305">
        <f>SUMIF(Adjustments!A:A,A132,Adjustments!C:C)</f>
        <v>0</v>
      </c>
      <c r="F132" s="639">
        <f t="shared" si="1"/>
        <v>39.979999999999997</v>
      </c>
      <c r="G132" s="263" t="str">
        <f>VLOOKUP('Trial Balance'!$A132,'Code Allocation'!$A:$D,3,0)</f>
        <v>CRA</v>
      </c>
      <c r="H132" s="266" t="str">
        <f>VLOOKUP('Trial Balance'!$A132,'Code Allocation'!$A:$D,4,0)</f>
        <v>Parks, gardens &amp; open Spaces</v>
      </c>
      <c r="I132" s="267" t="str">
        <f>VLOOKUP('Trial Balance'!$A132,'Code Allocation'!$A:$E,5,0)</f>
        <v>Premises Related Expenses</v>
      </c>
      <c r="J132" s="268" t="str">
        <f>VLOOKUP('Trial Balance'!$A132,'Code Allocation'!$A:$F,6,0)</f>
        <v>Electricity</v>
      </c>
    </row>
    <row r="133" spans="1:10" ht="15" customHeight="1" x14ac:dyDescent="0.3">
      <c r="A133" s="638">
        <v>37120114</v>
      </c>
      <c r="B133" s="638" t="s">
        <v>482</v>
      </c>
      <c r="C133" s="640">
        <v>2559.7399999999998</v>
      </c>
      <c r="D133" s="311"/>
      <c r="E133" s="305">
        <f>SUMIF(Adjustments!A:A,A133,Adjustments!C:C)</f>
        <v>0</v>
      </c>
      <c r="F133" s="639">
        <f t="shared" si="1"/>
        <v>2559.7399999999998</v>
      </c>
      <c r="G133" s="263" t="str">
        <f>VLOOKUP('Trial Balance'!$A133,'Code Allocation'!$A:$D,3,0)</f>
        <v>CRA</v>
      </c>
      <c r="H133" s="266" t="str">
        <f>VLOOKUP('Trial Balance'!$A133,'Code Allocation'!$A:$D,4,0)</f>
        <v>Parks, gardens &amp; open Spaces</v>
      </c>
      <c r="I133" s="267" t="str">
        <f>VLOOKUP('Trial Balance'!$A133,'Code Allocation'!$A:$E,5,0)</f>
        <v>Premises Related Expenses</v>
      </c>
      <c r="J133" s="268" t="str">
        <f>VLOOKUP('Trial Balance'!$A133,'Code Allocation'!$A:$F,6,0)</f>
        <v>water</v>
      </c>
    </row>
    <row r="134" spans="1:10" ht="15" customHeight="1" x14ac:dyDescent="0.3">
      <c r="A134" s="638">
        <v>37120120</v>
      </c>
      <c r="B134" s="638" t="s">
        <v>483</v>
      </c>
      <c r="C134" s="640">
        <v>1354</v>
      </c>
      <c r="D134" s="311"/>
      <c r="E134" s="305">
        <f>SUMIF(Adjustments!A:A,A134,Adjustments!C:C)</f>
        <v>0</v>
      </c>
      <c r="F134" s="639">
        <f t="shared" si="1"/>
        <v>1354</v>
      </c>
      <c r="G134" s="263" t="str">
        <f>VLOOKUP('Trial Balance'!$A134,'Code Allocation'!$A:$D,3,0)</f>
        <v>CRA</v>
      </c>
      <c r="H134" s="266" t="str">
        <f>VLOOKUP('Trial Balance'!$A134,'Code Allocation'!$A:$D,4,0)</f>
        <v>Parks, gardens &amp; open Spaces</v>
      </c>
      <c r="I134" s="267" t="str">
        <f>VLOOKUP('Trial Balance'!$A134,'Code Allocation'!$A:$E,5,0)</f>
        <v>Premises Related Expenses</v>
      </c>
      <c r="J134" s="268" t="str">
        <f>VLOOKUP('Trial Balance'!$A134,'Code Allocation'!$A:$F,6,0)</f>
        <v>water</v>
      </c>
    </row>
    <row r="135" spans="1:10" ht="15" customHeight="1" x14ac:dyDescent="0.3">
      <c r="A135" s="638">
        <v>37120125</v>
      </c>
      <c r="B135" s="638" t="s">
        <v>484</v>
      </c>
      <c r="C135" s="638">
        <v>194.35</v>
      </c>
      <c r="D135" s="311"/>
      <c r="E135" s="305">
        <f>SUMIF(Adjustments!A:A,A135,Adjustments!C:C)</f>
        <v>0</v>
      </c>
      <c r="F135" s="639">
        <f t="shared" si="1"/>
        <v>194.35</v>
      </c>
      <c r="G135" s="263" t="str">
        <f>VLOOKUP('Trial Balance'!$A135,'Code Allocation'!$A:$D,3,0)</f>
        <v>CRA</v>
      </c>
      <c r="H135" s="266" t="str">
        <f>VLOOKUP('Trial Balance'!$A135,'Code Allocation'!$A:$D,4,0)</f>
        <v>Parks, gardens &amp; open Spaces</v>
      </c>
      <c r="I135" s="267" t="str">
        <f>VLOOKUP('Trial Balance'!$A135,'Code Allocation'!$A:$E,5,0)</f>
        <v>Premises Related Expenses</v>
      </c>
      <c r="J135" s="268" t="str">
        <f>VLOOKUP('Trial Balance'!$A135,'Code Allocation'!$A:$F,6,0)</f>
        <v>Water</v>
      </c>
    </row>
    <row r="136" spans="1:10" ht="15" customHeight="1" x14ac:dyDescent="0.3">
      <c r="A136" s="638">
        <v>37120126</v>
      </c>
      <c r="B136" s="638" t="s">
        <v>485</v>
      </c>
      <c r="C136" s="640">
        <v>1393.76</v>
      </c>
      <c r="D136" s="311"/>
      <c r="E136" s="305">
        <f>SUMIF(Adjustments!A:A,A136,Adjustments!C:C)</f>
        <v>0</v>
      </c>
      <c r="F136" s="639">
        <f t="shared" si="1"/>
        <v>1393.76</v>
      </c>
      <c r="G136" s="263" t="str">
        <f>VLOOKUP('Trial Balance'!$A136,'Code Allocation'!$A:$D,3,0)</f>
        <v>CRA</v>
      </c>
      <c r="H136" s="266" t="str">
        <f>VLOOKUP('Trial Balance'!$A136,'Code Allocation'!$A:$D,4,0)</f>
        <v>Parks, gardens &amp; open Spaces</v>
      </c>
      <c r="I136" s="267" t="str">
        <f>VLOOKUP('Trial Balance'!$A136,'Code Allocation'!$A:$E,5,0)</f>
        <v>Premises Related Expenses</v>
      </c>
      <c r="J136" s="268" t="str">
        <f>VLOOKUP('Trial Balance'!$A136,'Code Allocation'!$A:$F,6,0)</f>
        <v>Water</v>
      </c>
    </row>
    <row r="137" spans="1:10" ht="15" customHeight="1" x14ac:dyDescent="0.3">
      <c r="A137" s="638">
        <v>37120127</v>
      </c>
      <c r="B137" s="638" t="s">
        <v>486</v>
      </c>
      <c r="C137" s="638">
        <v>250.46</v>
      </c>
      <c r="D137" s="311"/>
      <c r="E137" s="305">
        <f>SUMIF(Adjustments!A:A,A137,Adjustments!C:C)</f>
        <v>0</v>
      </c>
      <c r="F137" s="639">
        <f t="shared" si="1"/>
        <v>250.46</v>
      </c>
      <c r="G137" s="263" t="str">
        <f>VLOOKUP('Trial Balance'!$A137,'Code Allocation'!$A:$D,3,0)</f>
        <v>CRA</v>
      </c>
      <c r="H137" s="266" t="str">
        <f>VLOOKUP('Trial Balance'!$A137,'Code Allocation'!$A:$D,4,0)</f>
        <v>Parks, gardens &amp; open Spaces</v>
      </c>
      <c r="I137" s="267" t="str">
        <f>VLOOKUP('Trial Balance'!$A137,'Code Allocation'!$A:$E,5,0)</f>
        <v>Premises Related Expenses</v>
      </c>
      <c r="J137" s="268" t="str">
        <f>VLOOKUP('Trial Balance'!$A137,'Code Allocation'!$A:$F,6,0)</f>
        <v>Water</v>
      </c>
    </row>
    <row r="138" spans="1:10" ht="15" customHeight="1" x14ac:dyDescent="0.3">
      <c r="A138" s="638">
        <v>37120166</v>
      </c>
      <c r="B138" s="638" t="s">
        <v>487</v>
      </c>
      <c r="C138" s="638">
        <v>35.450000000000003</v>
      </c>
      <c r="D138" s="311"/>
      <c r="E138" s="305">
        <f>SUMIF(Adjustments!A:A,A138,Adjustments!C:C)</f>
        <v>0</v>
      </c>
      <c r="F138" s="639">
        <f t="shared" si="1"/>
        <v>35.450000000000003</v>
      </c>
      <c r="G138" s="263" t="str">
        <f>VLOOKUP('Trial Balance'!$A138,'Code Allocation'!$A:$D,3,0)</f>
        <v>CRA</v>
      </c>
      <c r="H138" s="266" t="str">
        <f>VLOOKUP('Trial Balance'!$A138,'Code Allocation'!$A:$D,4,0)</f>
        <v>Parks, gardens &amp; open Spaces</v>
      </c>
      <c r="I138" s="267" t="str">
        <f>VLOOKUP('Trial Balance'!$A138,'Code Allocation'!$A:$E,5,0)</f>
        <v>Premises Related Expenses</v>
      </c>
      <c r="J138" s="268" t="str">
        <f>VLOOKUP('Trial Balance'!$A138,'Code Allocation'!$A:$F,6,0)</f>
        <v>Water</v>
      </c>
    </row>
    <row r="139" spans="1:10" ht="15" customHeight="1" x14ac:dyDescent="0.3">
      <c r="A139" s="638">
        <v>37120199</v>
      </c>
      <c r="B139" s="638" t="s">
        <v>488</v>
      </c>
      <c r="C139" s="638">
        <v>601.27</v>
      </c>
      <c r="D139" s="311"/>
      <c r="E139" s="305">
        <f>SUMIF(Adjustments!A:A,A139,Adjustments!C:C)</f>
        <v>0</v>
      </c>
      <c r="F139" s="639">
        <f t="shared" si="1"/>
        <v>601.27</v>
      </c>
      <c r="G139" s="263" t="str">
        <f>VLOOKUP('Trial Balance'!$A139,'Code Allocation'!$A:$D,3,0)</f>
        <v>CRA</v>
      </c>
      <c r="H139" s="266" t="str">
        <f>VLOOKUP('Trial Balance'!$A139,'Code Allocation'!$A:$D,4,0)</f>
        <v>Parks, gardens &amp; open Spaces</v>
      </c>
      <c r="I139" s="267" t="str">
        <f>VLOOKUP('Trial Balance'!$A139,'Code Allocation'!$A:$E,5,0)</f>
        <v>Premises Related Expenses</v>
      </c>
      <c r="J139" s="268" t="str">
        <f>VLOOKUP('Trial Balance'!$A139,'Code Allocation'!$A:$F,6,0)</f>
        <v>Water</v>
      </c>
    </row>
    <row r="140" spans="1:10" ht="15" customHeight="1" x14ac:dyDescent="0.3">
      <c r="A140" s="638">
        <v>37130127</v>
      </c>
      <c r="B140" s="638" t="s">
        <v>489</v>
      </c>
      <c r="C140" s="640">
        <v>1152.5</v>
      </c>
      <c r="D140" s="311"/>
      <c r="E140" s="305">
        <f>SUMIF(Adjustments!A:A,A140,Adjustments!C:C)</f>
        <v>0</v>
      </c>
      <c r="F140" s="639">
        <f t="shared" si="1"/>
        <v>1152.5</v>
      </c>
      <c r="G140" s="263" t="str">
        <f>VLOOKUP('Trial Balance'!$A140,'Code Allocation'!$A:$D,3,0)</f>
        <v>CRA</v>
      </c>
      <c r="H140" s="266" t="str">
        <f>VLOOKUP('Trial Balance'!$A140,'Code Allocation'!$A:$D,4,0)</f>
        <v>Parks, gardens &amp; open Spaces</v>
      </c>
      <c r="I140" s="267" t="str">
        <f>VLOOKUP('Trial Balance'!$A140,'Code Allocation'!$A:$E,5,0)</f>
        <v>Premises Related Expenses</v>
      </c>
      <c r="J140" s="268" t="str">
        <f>VLOOKUP('Trial Balance'!$A140,'Code Allocation'!$A:$F,6,0)</f>
        <v>Rent</v>
      </c>
    </row>
    <row r="141" spans="1:10" ht="15" customHeight="1" x14ac:dyDescent="0.3">
      <c r="A141" s="638">
        <v>37130129</v>
      </c>
      <c r="B141" s="638" t="s">
        <v>490</v>
      </c>
      <c r="C141" s="638">
        <v>675</v>
      </c>
      <c r="D141" s="311"/>
      <c r="E141" s="305">
        <f>SUMIF(Adjustments!A:A,A141,Adjustments!C:C)</f>
        <v>0</v>
      </c>
      <c r="F141" s="642">
        <f t="shared" si="1"/>
        <v>675</v>
      </c>
      <c r="G141" s="263" t="str">
        <f>VLOOKUP('Trial Balance'!$A141,'Code Allocation'!$A:$D,3,0)</f>
        <v>CRA</v>
      </c>
      <c r="H141" s="266" t="str">
        <f>VLOOKUP('Trial Balance'!$A141,'Code Allocation'!$A:$D,4,0)</f>
        <v>Parks, gardens &amp; open Spaces</v>
      </c>
      <c r="I141" s="267" t="str">
        <f>VLOOKUP('Trial Balance'!$A141,'Code Allocation'!$A:$E,5,0)</f>
        <v>Premises Related Expenses</v>
      </c>
      <c r="J141" s="268" t="str">
        <f>VLOOKUP('Trial Balance'!$A141,'Code Allocation'!$A:$F,6,0)</f>
        <v>Rent</v>
      </c>
    </row>
    <row r="142" spans="1:10" ht="15" customHeight="1" x14ac:dyDescent="0.3">
      <c r="A142" s="638">
        <v>37130145</v>
      </c>
      <c r="B142" s="638" t="s">
        <v>491</v>
      </c>
      <c r="C142" s="638">
        <v>4</v>
      </c>
      <c r="D142" s="311"/>
      <c r="E142" s="305">
        <f>SUMIF(Adjustments!A:A,A142,Adjustments!C:C)</f>
        <v>0</v>
      </c>
      <c r="F142" s="642">
        <f t="shared" si="1"/>
        <v>4</v>
      </c>
      <c r="G142" s="263" t="str">
        <f>VLOOKUP('Trial Balance'!$A142,'Code Allocation'!$A:$D,3,0)</f>
        <v>CRA</v>
      </c>
      <c r="H142" s="266" t="str">
        <f>VLOOKUP('Trial Balance'!$A142,'Code Allocation'!$A:$D,4,0)</f>
        <v>Parks, gardens &amp; open Spaces</v>
      </c>
      <c r="I142" s="267" t="str">
        <f>VLOOKUP('Trial Balance'!$A142,'Code Allocation'!$A:$E,5,0)</f>
        <v>Premises Related Expenses</v>
      </c>
      <c r="J142" s="268" t="str">
        <f>VLOOKUP('Trial Balance'!$A142,'Code Allocation'!$A:$F,6,0)</f>
        <v>Rent</v>
      </c>
    </row>
    <row r="143" spans="1:10" ht="15" customHeight="1" x14ac:dyDescent="0.3">
      <c r="A143" s="638">
        <v>37130152</v>
      </c>
      <c r="B143" s="638" t="s">
        <v>492</v>
      </c>
      <c r="C143" s="640">
        <v>3748.5</v>
      </c>
      <c r="D143" s="311"/>
      <c r="E143" s="305">
        <f>SUMIF(Adjustments!A:A,A143,Adjustments!C:C)</f>
        <v>0</v>
      </c>
      <c r="F143" s="642">
        <f t="shared" si="1"/>
        <v>3748.5</v>
      </c>
      <c r="G143" s="263" t="str">
        <f>VLOOKUP('Trial Balance'!$A143,'Code Allocation'!$A:$D,3,0)</f>
        <v>CRA</v>
      </c>
      <c r="H143" s="266" t="str">
        <f>VLOOKUP('Trial Balance'!$A143,'Code Allocation'!$A:$D,4,0)</f>
        <v>Parks, gardens &amp; open Spaces</v>
      </c>
      <c r="I143" s="267" t="str">
        <f>VLOOKUP('Trial Balance'!$A143,'Code Allocation'!$A:$E,5,0)</f>
        <v>Premises Related Expenses</v>
      </c>
      <c r="J143" s="268" t="str">
        <f>VLOOKUP('Trial Balance'!$A143,'Code Allocation'!$A:$F,6,0)</f>
        <v>Rent</v>
      </c>
    </row>
    <row r="144" spans="1:10" ht="15" customHeight="1" x14ac:dyDescent="0.3">
      <c r="A144" s="638">
        <v>37140121</v>
      </c>
      <c r="B144" s="638" t="s">
        <v>493</v>
      </c>
      <c r="C144" s="638">
        <v>449.6</v>
      </c>
      <c r="D144" s="311"/>
      <c r="E144" s="305">
        <f>SUMIF(Adjustments!A:A,A144,Adjustments!C:C)</f>
        <v>0</v>
      </c>
      <c r="F144" s="642">
        <f t="shared" si="1"/>
        <v>449.6</v>
      </c>
      <c r="G144" s="263" t="str">
        <f>VLOOKUP('Trial Balance'!$A144,'Code Allocation'!$A:$D,3,0)</f>
        <v>CRA</v>
      </c>
      <c r="H144" s="266" t="str">
        <f>VLOOKUP('Trial Balance'!$A144,'Code Allocation'!$A:$D,4,0)</f>
        <v>Parks, gardens &amp; open Spaces</v>
      </c>
      <c r="I144" s="267" t="str">
        <f>VLOOKUP('Trial Balance'!$A144,'Code Allocation'!$A:$E,5,0)</f>
        <v>Premises Related Expenses</v>
      </c>
      <c r="J144" s="268" t="str">
        <f>VLOOKUP('Trial Balance'!$A144,'Code Allocation'!$A:$F,6,0)</f>
        <v>Rates</v>
      </c>
    </row>
    <row r="145" spans="1:256" ht="15" customHeight="1" x14ac:dyDescent="0.3">
      <c r="A145" s="638">
        <v>37140166</v>
      </c>
      <c r="B145" s="638" t="s">
        <v>494</v>
      </c>
      <c r="C145" s="640">
        <v>9017.75</v>
      </c>
      <c r="D145" s="311"/>
      <c r="E145" s="305">
        <f>SUMIF(Adjustments!A:A,A145,Adjustments!C:C)</f>
        <v>0</v>
      </c>
      <c r="F145" s="642">
        <f t="shared" si="1"/>
        <v>9017.75</v>
      </c>
      <c r="G145" s="263" t="str">
        <f>VLOOKUP('Trial Balance'!$A145,'Code Allocation'!$A:$D,3,0)</f>
        <v>CRA</v>
      </c>
      <c r="H145" s="266" t="str">
        <f>VLOOKUP('Trial Balance'!$A145,'Code Allocation'!$A:$D,4,0)</f>
        <v>Parks, gardens &amp; open Spaces</v>
      </c>
      <c r="I145" s="267" t="str">
        <f>VLOOKUP('Trial Balance'!$A145,'Code Allocation'!$A:$E,5,0)</f>
        <v>Premises Related Expenses</v>
      </c>
      <c r="J145" s="268" t="str">
        <f>VLOOKUP('Trial Balance'!$A145,'Code Allocation'!$A:$F,6,0)</f>
        <v>Rates</v>
      </c>
    </row>
    <row r="146" spans="1:256" ht="15" customHeight="1" x14ac:dyDescent="0.3">
      <c r="A146" s="638">
        <v>37150199</v>
      </c>
      <c r="B146" s="638" t="s">
        <v>495</v>
      </c>
      <c r="C146" s="311"/>
      <c r="D146" s="638">
        <v>20.41</v>
      </c>
      <c r="E146" s="305">
        <f>SUMIF(Adjustments!A:A,A146,Adjustments!C:C)</f>
        <v>0</v>
      </c>
      <c r="F146" s="642">
        <f t="shared" si="1"/>
        <v>-20.41</v>
      </c>
      <c r="G146" s="263" t="str">
        <f>VLOOKUP('Trial Balance'!$A146,'Code Allocation'!$A:$D,3,0)</f>
        <v>CRA</v>
      </c>
      <c r="H146" s="266" t="str">
        <f>VLOOKUP('Trial Balance'!$A146,'Code Allocation'!$A:$D,4,0)</f>
        <v>Parks, gardens &amp; open Spaces</v>
      </c>
      <c r="I146" s="267" t="str">
        <f>VLOOKUP('Trial Balance'!$A146,'Code Allocation'!$A:$E,5,0)</f>
        <v>Premises Related Expenses</v>
      </c>
      <c r="J146" s="268" t="str">
        <f>VLOOKUP('Trial Balance'!$A146,'Code Allocation'!$A:$F,6,0)</f>
        <v>Insurance</v>
      </c>
    </row>
    <row r="147" spans="1:256" ht="15" customHeight="1" x14ac:dyDescent="0.3">
      <c r="A147" s="638">
        <v>37160111</v>
      </c>
      <c r="B147" s="638" t="s">
        <v>496</v>
      </c>
      <c r="C147" s="638">
        <v>98.67</v>
      </c>
      <c r="D147" s="311"/>
      <c r="E147" s="305">
        <f>SUMIF(Adjustments!A:A,A147,Adjustments!C:C)</f>
        <v>0</v>
      </c>
      <c r="F147" s="639">
        <f t="shared" si="1"/>
        <v>98.67</v>
      </c>
      <c r="G147" s="263" t="str">
        <f>VLOOKUP('Trial Balance'!$A147,'Code Allocation'!$A:$D,3,0)</f>
        <v>CRA</v>
      </c>
      <c r="H147" s="266" t="str">
        <f>VLOOKUP('Trial Balance'!$A147,'Code Allocation'!$A:$D,4,0)</f>
        <v>Parks, gardens &amp; open Spaces</v>
      </c>
      <c r="I147" s="267" t="str">
        <f>VLOOKUP('Trial Balance'!$A147,'Code Allocation'!$A:$E,5,0)</f>
        <v>Supplies and Services</v>
      </c>
      <c r="J147" s="268" t="str">
        <f>VLOOKUP('Trial Balance'!$A147,'Code Allocation'!$A:$F,6,0)</f>
        <v>Telephone</v>
      </c>
    </row>
    <row r="148" spans="1:256" ht="15" customHeight="1" x14ac:dyDescent="0.3">
      <c r="A148" s="638">
        <v>37160115</v>
      </c>
      <c r="B148" s="638" t="s">
        <v>497</v>
      </c>
      <c r="C148" s="638">
        <v>88.91</v>
      </c>
      <c r="D148" s="311"/>
      <c r="E148" s="305">
        <f>SUMIF(Adjustments!A:A,A148,Adjustments!C:C)</f>
        <v>0</v>
      </c>
      <c r="F148" s="639">
        <f t="shared" si="1"/>
        <v>88.91</v>
      </c>
      <c r="G148" s="263" t="str">
        <f>VLOOKUP('Trial Balance'!$A148,'Code Allocation'!$A:$D,3,0)</f>
        <v>CRA</v>
      </c>
      <c r="H148" s="266" t="str">
        <f>VLOOKUP('Trial Balance'!$A148,'Code Allocation'!$A:$D,4,0)</f>
        <v>Parks, gardens &amp; open Spaces</v>
      </c>
      <c r="I148" s="267" t="str">
        <f>VLOOKUP('Trial Balance'!$A148,'Code Allocation'!$A:$E,5,0)</f>
        <v>Supplies and Services</v>
      </c>
      <c r="J148" s="268" t="str">
        <f>VLOOKUP('Trial Balance'!$A148,'Code Allocation'!$A:$F,6,0)</f>
        <v>Telephone</v>
      </c>
    </row>
    <row r="149" spans="1:256" ht="15" customHeight="1" x14ac:dyDescent="0.3">
      <c r="A149" s="638">
        <v>37160116</v>
      </c>
      <c r="B149" s="638" t="s">
        <v>498</v>
      </c>
      <c r="C149" s="638">
        <v>195.02</v>
      </c>
      <c r="D149" s="311"/>
      <c r="E149" s="305">
        <f>SUMIF(Adjustments!A:A,A149,Adjustments!C:C)</f>
        <v>0</v>
      </c>
      <c r="F149" s="639">
        <f t="shared" si="1"/>
        <v>195.02</v>
      </c>
      <c r="G149" s="263" t="str">
        <f>VLOOKUP('Trial Balance'!$A149,'Code Allocation'!$A:$D,3,0)</f>
        <v>CRA</v>
      </c>
      <c r="H149" s="266" t="str">
        <f>VLOOKUP('Trial Balance'!$A149,'Code Allocation'!$A:$D,4,0)</f>
        <v>Parks, gardens &amp; open Spaces</v>
      </c>
      <c r="I149" s="267" t="str">
        <f>VLOOKUP('Trial Balance'!$A149,'Code Allocation'!$A:$E,5,0)</f>
        <v>Supplies and Services</v>
      </c>
      <c r="J149" s="268" t="str">
        <f>VLOOKUP('Trial Balance'!$A149,'Code Allocation'!$A:$F,6,0)</f>
        <v>Telephone</v>
      </c>
    </row>
    <row r="150" spans="1:256" ht="15" customHeight="1" x14ac:dyDescent="0.3">
      <c r="A150" s="638">
        <v>37160120</v>
      </c>
      <c r="B150" s="638" t="s">
        <v>499</v>
      </c>
      <c r="C150" s="638">
        <v>54.99</v>
      </c>
      <c r="D150" s="311"/>
      <c r="E150" s="305">
        <f>SUMIF(Adjustments!A:A,A150,Adjustments!C:C)</f>
        <v>0</v>
      </c>
      <c r="F150" s="639">
        <f t="shared" si="1"/>
        <v>54.99</v>
      </c>
      <c r="G150" s="263" t="str">
        <f>VLOOKUP('Trial Balance'!$A150,'Code Allocation'!$A:$D,3,0)</f>
        <v>CRA</v>
      </c>
      <c r="H150" s="266" t="str">
        <f>VLOOKUP('Trial Balance'!$A150,'Code Allocation'!$A:$D,4,0)</f>
        <v>Parks, gardens &amp; open Spaces</v>
      </c>
      <c r="I150" s="267" t="str">
        <f>VLOOKUP('Trial Balance'!$A150,'Code Allocation'!$A:$E,5,0)</f>
        <v>Supplies and Services</v>
      </c>
      <c r="J150" s="268" t="str">
        <f>VLOOKUP('Trial Balance'!$A150,'Code Allocation'!$A:$F,6,0)</f>
        <v>Telephone</v>
      </c>
    </row>
    <row r="151" spans="1:256" ht="15" customHeight="1" x14ac:dyDescent="0.3">
      <c r="A151" s="638">
        <v>37160126</v>
      </c>
      <c r="B151" s="638" t="s">
        <v>500</v>
      </c>
      <c r="C151" s="638">
        <v>126.26</v>
      </c>
      <c r="D151" s="311"/>
      <c r="E151" s="305">
        <f>SUMIF(Adjustments!A:A,A151,Adjustments!C:C)</f>
        <v>0</v>
      </c>
      <c r="F151" s="639">
        <f t="shared" si="1"/>
        <v>126.26</v>
      </c>
      <c r="G151" s="263" t="str">
        <f>VLOOKUP('Trial Balance'!$A151,'Code Allocation'!$A:$D,3,0)</f>
        <v>CRA</v>
      </c>
      <c r="H151" s="266" t="str">
        <f>VLOOKUP('Trial Balance'!$A151,'Code Allocation'!$A:$D,4,0)</f>
        <v>Parks, gardens &amp; open Spaces</v>
      </c>
      <c r="I151" s="267" t="str">
        <f>VLOOKUP('Trial Balance'!$A151,'Code Allocation'!$A:$E,5,0)</f>
        <v>Supplies and Services</v>
      </c>
      <c r="J151" s="268" t="str">
        <f>VLOOKUP('Trial Balance'!$A151,'Code Allocation'!$A:$F,6,0)</f>
        <v>Telephone</v>
      </c>
    </row>
    <row r="152" spans="1:256" ht="15" customHeight="1" x14ac:dyDescent="0.3">
      <c r="A152" s="638">
        <v>37160128</v>
      </c>
      <c r="B152" s="638" t="s">
        <v>501</v>
      </c>
      <c r="C152" s="638">
        <v>162.78</v>
      </c>
      <c r="D152" s="311"/>
      <c r="E152" s="305">
        <f>SUMIF(Adjustments!A:A,A152,Adjustments!C:C)</f>
        <v>0</v>
      </c>
      <c r="F152" s="639">
        <f t="shared" si="1"/>
        <v>162.78</v>
      </c>
      <c r="G152" s="263" t="str">
        <f>VLOOKUP('Trial Balance'!$A152,'Code Allocation'!$A:$D,3,0)</f>
        <v>CRA</v>
      </c>
      <c r="H152" s="266" t="str">
        <f>VLOOKUP('Trial Balance'!$A152,'Code Allocation'!$A:$D,4,0)</f>
        <v>Parks, gardens &amp; open Spaces</v>
      </c>
      <c r="I152" s="267" t="str">
        <f>VLOOKUP('Trial Balance'!$A152,'Code Allocation'!$A:$E,5,0)</f>
        <v>Supplies and Services</v>
      </c>
      <c r="J152" s="268" t="str">
        <f>VLOOKUP('Trial Balance'!$A152,'Code Allocation'!$A:$F,6,0)</f>
        <v>Telephone</v>
      </c>
    </row>
    <row r="153" spans="1:256" ht="15" customHeight="1" x14ac:dyDescent="0.3">
      <c r="A153" s="638">
        <v>37160166</v>
      </c>
      <c r="B153" s="638" t="s">
        <v>502</v>
      </c>
      <c r="C153" s="638">
        <v>49.28</v>
      </c>
      <c r="D153" s="311"/>
      <c r="E153" s="305">
        <f>SUMIF(Adjustments!A:A,A153,Adjustments!C:C)</f>
        <v>0</v>
      </c>
      <c r="F153" s="639">
        <f t="shared" si="1"/>
        <v>49.28</v>
      </c>
      <c r="G153" s="263" t="str">
        <f>VLOOKUP('Trial Balance'!$A153,'Code Allocation'!$A:$D,3,0)</f>
        <v>CRA</v>
      </c>
      <c r="H153" s="266" t="str">
        <f>VLOOKUP('Trial Balance'!$A153,'Code Allocation'!$A:$D,4,0)</f>
        <v>Parks, gardens &amp; open Spaces</v>
      </c>
      <c r="I153" s="267" t="str">
        <f>VLOOKUP('Trial Balance'!$A153,'Code Allocation'!$A:$E,5,0)</f>
        <v>Supplies and Services</v>
      </c>
      <c r="J153" s="268" t="str">
        <f>VLOOKUP('Trial Balance'!$A153,'Code Allocation'!$A:$F,6,0)</f>
        <v>Telephone</v>
      </c>
    </row>
    <row r="154" spans="1:256" ht="15" customHeight="1" x14ac:dyDescent="0.3">
      <c r="A154" s="638">
        <v>37160299</v>
      </c>
      <c r="B154" s="638" t="s">
        <v>503</v>
      </c>
      <c r="C154" s="638">
        <v>398.77</v>
      </c>
      <c r="D154" s="311"/>
      <c r="E154" s="305">
        <f>SUMIF(Adjustments!A:A,A154,Adjustments!C:C)</f>
        <v>0</v>
      </c>
      <c r="F154" s="639">
        <f t="shared" si="1"/>
        <v>398.77</v>
      </c>
      <c r="G154" s="263" t="str">
        <f>VLOOKUP('Trial Balance'!$A154,'Code Allocation'!$A:$D,3,0)</f>
        <v>CRA</v>
      </c>
      <c r="H154" s="266" t="str">
        <f>VLOOKUP('Trial Balance'!$A154,'Code Allocation'!$A:$D,4,0)</f>
        <v>Parks, gardens &amp; open Spaces</v>
      </c>
      <c r="I154" s="267" t="str">
        <f>VLOOKUP('Trial Balance'!$A154,'Code Allocation'!$A:$E,5,0)</f>
        <v>Supplies and Services</v>
      </c>
      <c r="J154" s="268" t="str">
        <f>VLOOKUP('Trial Balance'!$A154,'Code Allocation'!$A:$F,6,0)</f>
        <v>telephone</v>
      </c>
    </row>
    <row r="155" spans="1:256" s="279" customFormat="1" ht="15" customHeight="1" x14ac:dyDescent="0.3">
      <c r="A155" s="638">
        <v>37180115</v>
      </c>
      <c r="B155" s="638" t="s">
        <v>504</v>
      </c>
      <c r="C155" s="638">
        <v>218</v>
      </c>
      <c r="D155" s="311"/>
      <c r="E155" s="305">
        <f>SUMIF(Adjustments!A:A,A155,Adjustments!C:C)</f>
        <v>0</v>
      </c>
      <c r="F155" s="639">
        <f t="shared" si="1"/>
        <v>218</v>
      </c>
      <c r="G155" s="263" t="str">
        <f>VLOOKUP('Trial Balance'!$A155,'Code Allocation'!$A:$D,3,0)</f>
        <v>CRA</v>
      </c>
      <c r="H155" s="266" t="str">
        <f>VLOOKUP('Trial Balance'!$A155,'Code Allocation'!$A:$D,4,0)</f>
        <v>Parks, gardens &amp; open Spaces</v>
      </c>
      <c r="I155" s="267" t="str">
        <f>VLOOKUP('Trial Balance'!$A155,'Code Allocation'!$A:$E,5,0)</f>
        <v>Supplies and Services</v>
      </c>
      <c r="J155" s="268" t="str">
        <f>VLOOKUP('Trial Balance'!$A155,'Code Allocation'!$A:$F,6,0)</f>
        <v>Cleaning - Materials &amp; Equipment</v>
      </c>
      <c r="K155" s="263"/>
      <c r="L155" s="263"/>
      <c r="M155" s="263"/>
      <c r="N155" s="263"/>
      <c r="O155" s="263"/>
      <c r="P155" s="263"/>
      <c r="Q155" s="263"/>
      <c r="R155" s="263"/>
      <c r="S155" s="263"/>
      <c r="T155" s="263"/>
      <c r="U155" s="263"/>
      <c r="V155" s="263"/>
      <c r="W155" s="263"/>
      <c r="X155" s="263"/>
      <c r="Y155" s="263"/>
      <c r="Z155" s="263"/>
      <c r="AA155" s="263"/>
      <c r="AB155" s="263"/>
      <c r="AC155" s="263"/>
      <c r="AD155" s="263"/>
      <c r="AE155" s="263"/>
      <c r="AF155" s="263"/>
      <c r="AG155" s="263"/>
      <c r="AH155" s="263"/>
      <c r="AI155" s="263"/>
      <c r="AJ155" s="263"/>
      <c r="AK155" s="263"/>
      <c r="AL155" s="263"/>
      <c r="AM155" s="263"/>
      <c r="AN155" s="263"/>
      <c r="AO155" s="263"/>
      <c r="AP155" s="263"/>
      <c r="AQ155" s="263"/>
      <c r="AR155" s="263"/>
      <c r="AS155" s="263"/>
      <c r="AT155" s="263"/>
      <c r="AU155" s="263"/>
      <c r="AV155" s="263"/>
      <c r="AW155" s="263"/>
      <c r="AX155" s="263"/>
      <c r="AY155" s="263"/>
      <c r="AZ155" s="263"/>
      <c r="BA155" s="263"/>
      <c r="BB155" s="263"/>
      <c r="BC155" s="263"/>
      <c r="BD155" s="263"/>
      <c r="BE155" s="263"/>
      <c r="BF155" s="263"/>
      <c r="BG155" s="263"/>
      <c r="BH155" s="263"/>
      <c r="BI155" s="263"/>
      <c r="BJ155" s="263"/>
      <c r="BK155" s="263"/>
      <c r="BL155" s="263"/>
      <c r="BM155" s="263"/>
      <c r="BN155" s="263"/>
      <c r="BO155" s="263"/>
      <c r="BP155" s="263"/>
      <c r="BQ155" s="263"/>
      <c r="BR155" s="263"/>
      <c r="BS155" s="263"/>
      <c r="BT155" s="263"/>
      <c r="BU155" s="263"/>
      <c r="BV155" s="263"/>
      <c r="BW155" s="263"/>
      <c r="BX155" s="263"/>
      <c r="BY155" s="263"/>
      <c r="BZ155" s="263"/>
      <c r="CA155" s="263"/>
      <c r="CB155" s="263"/>
      <c r="CC155" s="263"/>
      <c r="CD155" s="263"/>
      <c r="CE155" s="263"/>
      <c r="CF155" s="263"/>
      <c r="CG155" s="263"/>
      <c r="CH155" s="263"/>
      <c r="CI155" s="263"/>
      <c r="CJ155" s="263"/>
      <c r="CK155" s="263"/>
      <c r="CL155" s="263"/>
      <c r="CM155" s="263"/>
      <c r="CN155" s="263"/>
      <c r="CO155" s="263"/>
      <c r="CP155" s="263"/>
      <c r="CQ155" s="263"/>
      <c r="CR155" s="263"/>
      <c r="CS155" s="263"/>
      <c r="CT155" s="263"/>
      <c r="CU155" s="263"/>
      <c r="CV155" s="263"/>
      <c r="CW155" s="263"/>
      <c r="CX155" s="263"/>
      <c r="CY155" s="263"/>
      <c r="CZ155" s="263"/>
      <c r="DA155" s="263"/>
      <c r="DB155" s="263"/>
      <c r="DC155" s="263"/>
      <c r="DD155" s="263"/>
      <c r="DE155" s="263"/>
      <c r="DF155" s="263"/>
      <c r="DG155" s="263"/>
      <c r="DH155" s="263"/>
      <c r="DI155" s="263"/>
      <c r="DJ155" s="263"/>
      <c r="DK155" s="263"/>
      <c r="DL155" s="263"/>
      <c r="DM155" s="263"/>
      <c r="DN155" s="263"/>
      <c r="DO155" s="263"/>
      <c r="DP155" s="263"/>
      <c r="DQ155" s="263"/>
      <c r="DR155" s="263"/>
      <c r="DS155" s="263"/>
      <c r="DT155" s="263"/>
      <c r="DU155" s="263"/>
      <c r="DV155" s="263"/>
      <c r="DW155" s="263"/>
      <c r="DX155" s="263"/>
      <c r="DY155" s="263"/>
      <c r="DZ155" s="263"/>
      <c r="EA155" s="263"/>
      <c r="EB155" s="263"/>
      <c r="EC155" s="263"/>
      <c r="ED155" s="263"/>
      <c r="EE155" s="263"/>
      <c r="EF155" s="263"/>
      <c r="EG155" s="263"/>
      <c r="EH155" s="263"/>
      <c r="EI155" s="263"/>
      <c r="EJ155" s="263"/>
      <c r="EK155" s="263"/>
      <c r="EL155" s="263"/>
      <c r="EM155" s="263"/>
      <c r="EN155" s="263"/>
      <c r="EO155" s="263"/>
      <c r="EP155" s="263"/>
      <c r="EQ155" s="263"/>
      <c r="ER155" s="263"/>
      <c r="ES155" s="263"/>
      <c r="ET155" s="263"/>
      <c r="EU155" s="263"/>
      <c r="EV155" s="263"/>
      <c r="EW155" s="263"/>
      <c r="EX155" s="263"/>
      <c r="EY155" s="263"/>
      <c r="EZ155" s="263"/>
      <c r="FA155" s="263"/>
      <c r="FB155" s="263"/>
      <c r="FC155" s="263"/>
      <c r="FD155" s="263"/>
      <c r="FE155" s="263"/>
      <c r="FF155" s="263"/>
      <c r="FG155" s="263"/>
      <c r="FH155" s="263"/>
      <c r="FI155" s="263"/>
      <c r="FJ155" s="263"/>
      <c r="FK155" s="263"/>
      <c r="FL155" s="263"/>
      <c r="FM155" s="263"/>
      <c r="FN155" s="263"/>
      <c r="FO155" s="263"/>
      <c r="FP155" s="263"/>
      <c r="FQ155" s="263"/>
      <c r="FR155" s="263"/>
      <c r="FS155" s="263"/>
      <c r="FT155" s="263"/>
      <c r="FU155" s="263"/>
      <c r="FV155" s="263"/>
      <c r="FW155" s="263"/>
      <c r="FX155" s="263"/>
      <c r="FY155" s="263"/>
      <c r="FZ155" s="263"/>
      <c r="GA155" s="263"/>
      <c r="GB155" s="263"/>
      <c r="GC155" s="263"/>
      <c r="GD155" s="263"/>
      <c r="GE155" s="263"/>
      <c r="GF155" s="263"/>
      <c r="GG155" s="263"/>
      <c r="GH155" s="263"/>
      <c r="GI155" s="263"/>
      <c r="GJ155" s="263"/>
      <c r="GK155" s="263"/>
      <c r="GL155" s="263"/>
      <c r="GM155" s="263"/>
      <c r="GN155" s="263"/>
      <c r="GO155" s="263"/>
      <c r="GP155" s="263"/>
      <c r="GQ155" s="263"/>
      <c r="GR155" s="263"/>
      <c r="GS155" s="263"/>
      <c r="GT155" s="263"/>
      <c r="GU155" s="263"/>
      <c r="GV155" s="263"/>
      <c r="GW155" s="263"/>
      <c r="GX155" s="263"/>
      <c r="GY155" s="263"/>
      <c r="GZ155" s="263"/>
      <c r="HA155" s="263"/>
      <c r="HB155" s="263"/>
      <c r="HC155" s="263"/>
      <c r="HD155" s="263"/>
      <c r="HE155" s="263"/>
      <c r="HF155" s="263"/>
      <c r="HG155" s="263"/>
      <c r="HH155" s="263"/>
      <c r="HI155" s="263"/>
      <c r="HJ155" s="263"/>
      <c r="HK155" s="263"/>
      <c r="HL155" s="263"/>
      <c r="HM155" s="263"/>
      <c r="HN155" s="263"/>
      <c r="HO155" s="263"/>
      <c r="HP155" s="263"/>
      <c r="HQ155" s="263"/>
      <c r="HR155" s="263"/>
      <c r="HS155" s="263"/>
      <c r="HT155" s="263"/>
      <c r="HU155" s="263"/>
      <c r="HV155" s="263"/>
      <c r="HW155" s="263"/>
      <c r="HX155" s="263"/>
      <c r="HY155" s="263"/>
      <c r="HZ155" s="263"/>
      <c r="IA155" s="263"/>
      <c r="IB155" s="263"/>
      <c r="IC155" s="263"/>
      <c r="ID155" s="263"/>
      <c r="IE155" s="263"/>
      <c r="IF155" s="263"/>
      <c r="IG155" s="263"/>
      <c r="IH155" s="263"/>
      <c r="II155" s="263"/>
      <c r="IJ155" s="263"/>
      <c r="IK155" s="263"/>
      <c r="IL155" s="263"/>
      <c r="IM155" s="263"/>
      <c r="IN155" s="263"/>
      <c r="IO155" s="263"/>
      <c r="IP155" s="263"/>
      <c r="IQ155" s="263"/>
      <c r="IR155" s="263"/>
      <c r="IS155" s="263"/>
      <c r="IT155" s="263"/>
      <c r="IU155" s="263"/>
      <c r="IV155" s="263"/>
    </row>
    <row r="156" spans="1:256" ht="15" customHeight="1" x14ac:dyDescent="0.3">
      <c r="A156" s="638">
        <v>37180145</v>
      </c>
      <c r="B156" s="638" t="s">
        <v>505</v>
      </c>
      <c r="C156" s="638">
        <v>25</v>
      </c>
      <c r="D156" s="311"/>
      <c r="E156" s="305">
        <f>SUMIF(Adjustments!A:A,A156,Adjustments!C:C)</f>
        <v>0</v>
      </c>
      <c r="F156" s="639">
        <f t="shared" si="1"/>
        <v>25</v>
      </c>
      <c r="G156" s="263" t="str">
        <f>VLOOKUP('Trial Balance'!$A156,'Code Allocation'!$A:$D,3,0)</f>
        <v>CRA</v>
      </c>
      <c r="H156" s="266" t="str">
        <f>VLOOKUP('Trial Balance'!$A156,'Code Allocation'!$A:$D,4,0)</f>
        <v>Parks, gardens &amp; open Spaces</v>
      </c>
      <c r="I156" s="267" t="str">
        <f>VLOOKUP('Trial Balance'!$A156,'Code Allocation'!$A:$E,5,0)</f>
        <v>Supplies and Services</v>
      </c>
      <c r="J156" s="268" t="str">
        <f>VLOOKUP('Trial Balance'!$A156,'Code Allocation'!$A:$F,6,0)</f>
        <v>Cleaning - Materials &amp; Equipment</v>
      </c>
    </row>
    <row r="157" spans="1:256" s="282" customFormat="1" ht="15" customHeight="1" x14ac:dyDescent="0.3">
      <c r="A157" s="638">
        <v>37180199</v>
      </c>
      <c r="B157" s="638" t="s">
        <v>415</v>
      </c>
      <c r="C157" s="638">
        <v>918.86</v>
      </c>
      <c r="D157" s="311"/>
      <c r="E157" s="305">
        <f>SUMIF(Adjustments!A:A,A157,Adjustments!C:C)</f>
        <v>0</v>
      </c>
      <c r="F157" s="639">
        <f t="shared" si="1"/>
        <v>918.86</v>
      </c>
      <c r="G157" s="263" t="str">
        <f>VLOOKUP('Trial Balance'!$A157,'Code Allocation'!$A:$D,3,0)</f>
        <v>CRA</v>
      </c>
      <c r="H157" s="266" t="str">
        <f>VLOOKUP('Trial Balance'!$A157,'Code Allocation'!$A:$D,4,0)</f>
        <v>Parks, gardens &amp; open Spaces</v>
      </c>
      <c r="I157" s="267" t="str">
        <f>VLOOKUP('Trial Balance'!$A157,'Code Allocation'!$A:$E,5,0)</f>
        <v>Supplies and Services</v>
      </c>
      <c r="J157" s="268" t="str">
        <f>VLOOKUP('Trial Balance'!$A157,'Code Allocation'!$A:$F,6,0)</f>
        <v>Cleaning - Materials &amp; Equipment</v>
      </c>
      <c r="K157" s="263"/>
      <c r="L157" s="263"/>
      <c r="M157" s="263"/>
      <c r="N157" s="263"/>
      <c r="O157" s="263"/>
      <c r="P157" s="263"/>
      <c r="Q157" s="263"/>
      <c r="R157" s="263"/>
      <c r="S157" s="263"/>
      <c r="T157" s="263"/>
      <c r="U157" s="263"/>
      <c r="V157" s="263"/>
      <c r="W157" s="263"/>
      <c r="X157" s="263"/>
      <c r="Y157" s="263"/>
      <c r="Z157" s="263"/>
      <c r="AA157" s="263"/>
      <c r="AB157" s="263"/>
      <c r="AC157" s="263"/>
      <c r="AD157" s="263"/>
      <c r="AE157" s="263"/>
      <c r="AF157" s="263"/>
      <c r="AG157" s="263"/>
      <c r="AH157" s="263"/>
      <c r="AI157" s="263"/>
      <c r="AJ157" s="263"/>
      <c r="AK157" s="263"/>
      <c r="AL157" s="263"/>
      <c r="AM157" s="263"/>
      <c r="AN157" s="263"/>
      <c r="AO157" s="263"/>
      <c r="AP157" s="263"/>
      <c r="AQ157" s="263"/>
      <c r="AR157" s="263"/>
      <c r="AS157" s="263"/>
      <c r="AT157" s="263"/>
      <c r="AU157" s="263"/>
      <c r="AV157" s="263"/>
      <c r="AW157" s="263"/>
      <c r="AX157" s="263"/>
      <c r="AY157" s="263"/>
      <c r="AZ157" s="263"/>
      <c r="BA157" s="263"/>
      <c r="BB157" s="263"/>
      <c r="BC157" s="263"/>
      <c r="BD157" s="263"/>
      <c r="BE157" s="263"/>
      <c r="BF157" s="263"/>
      <c r="BG157" s="263"/>
      <c r="BH157" s="263"/>
      <c r="BI157" s="263"/>
      <c r="BJ157" s="263"/>
      <c r="BK157" s="263"/>
      <c r="BL157" s="263"/>
      <c r="BM157" s="263"/>
      <c r="BN157" s="263"/>
      <c r="BO157" s="263"/>
      <c r="BP157" s="263"/>
      <c r="BQ157" s="263"/>
      <c r="BR157" s="263"/>
      <c r="BS157" s="263"/>
      <c r="BT157" s="263"/>
      <c r="BU157" s="263"/>
      <c r="BV157" s="263"/>
      <c r="BW157" s="263"/>
      <c r="BX157" s="263"/>
      <c r="BY157" s="263"/>
      <c r="BZ157" s="263"/>
      <c r="CA157" s="263"/>
      <c r="CB157" s="263"/>
      <c r="CC157" s="263"/>
      <c r="CD157" s="263"/>
      <c r="CE157" s="263"/>
      <c r="CF157" s="263"/>
      <c r="CG157" s="263"/>
      <c r="CH157" s="263"/>
      <c r="CI157" s="263"/>
      <c r="CJ157" s="263"/>
      <c r="CK157" s="263"/>
      <c r="CL157" s="263"/>
      <c r="CM157" s="263"/>
      <c r="CN157" s="263"/>
      <c r="CO157" s="263"/>
      <c r="CP157" s="263"/>
      <c r="CQ157" s="263"/>
      <c r="CR157" s="263"/>
      <c r="CS157" s="263"/>
      <c r="CT157" s="263"/>
      <c r="CU157" s="263"/>
      <c r="CV157" s="263"/>
      <c r="CW157" s="263"/>
      <c r="CX157" s="263"/>
      <c r="CY157" s="263"/>
      <c r="CZ157" s="263"/>
      <c r="DA157" s="263"/>
      <c r="DB157" s="263"/>
      <c r="DC157" s="263"/>
      <c r="DD157" s="263"/>
      <c r="DE157" s="263"/>
      <c r="DF157" s="263"/>
      <c r="DG157" s="263"/>
      <c r="DH157" s="263"/>
      <c r="DI157" s="263"/>
      <c r="DJ157" s="263"/>
      <c r="DK157" s="263"/>
      <c r="DL157" s="263"/>
      <c r="DM157" s="263"/>
      <c r="DN157" s="263"/>
      <c r="DO157" s="263"/>
      <c r="DP157" s="263"/>
      <c r="DQ157" s="263"/>
      <c r="DR157" s="263"/>
      <c r="DS157" s="263"/>
      <c r="DT157" s="263"/>
      <c r="DU157" s="263"/>
      <c r="DV157" s="263"/>
      <c r="DW157" s="263"/>
      <c r="DX157" s="263"/>
      <c r="DY157" s="263"/>
      <c r="DZ157" s="263"/>
      <c r="EA157" s="263"/>
      <c r="EB157" s="263"/>
      <c r="EC157" s="263"/>
      <c r="ED157" s="263"/>
      <c r="EE157" s="263"/>
      <c r="EF157" s="263"/>
      <c r="EG157" s="263"/>
      <c r="EH157" s="263"/>
      <c r="EI157" s="263"/>
      <c r="EJ157" s="263"/>
      <c r="EK157" s="263"/>
      <c r="EL157" s="263"/>
      <c r="EM157" s="263"/>
      <c r="EN157" s="263"/>
      <c r="EO157" s="263"/>
      <c r="EP157" s="263"/>
      <c r="EQ157" s="263"/>
      <c r="ER157" s="263"/>
      <c r="ES157" s="263"/>
      <c r="ET157" s="263"/>
      <c r="EU157" s="263"/>
      <c r="EV157" s="263"/>
      <c r="EW157" s="263"/>
      <c r="EX157" s="263"/>
      <c r="EY157" s="263"/>
      <c r="EZ157" s="263"/>
      <c r="FA157" s="263"/>
      <c r="FB157" s="263"/>
      <c r="FC157" s="263"/>
      <c r="FD157" s="263"/>
      <c r="FE157" s="263"/>
      <c r="FF157" s="263"/>
      <c r="FG157" s="263"/>
      <c r="FH157" s="263"/>
      <c r="FI157" s="263"/>
      <c r="FJ157" s="263"/>
      <c r="FK157" s="263"/>
      <c r="FL157" s="263"/>
      <c r="FM157" s="263"/>
      <c r="FN157" s="263"/>
      <c r="FO157" s="263"/>
      <c r="FP157" s="263"/>
      <c r="FQ157" s="263"/>
      <c r="FR157" s="263"/>
      <c r="FS157" s="263"/>
      <c r="FT157" s="263"/>
      <c r="FU157" s="263"/>
      <c r="FV157" s="263"/>
      <c r="FW157" s="263"/>
      <c r="FX157" s="263"/>
      <c r="FY157" s="263"/>
      <c r="FZ157" s="263"/>
      <c r="GA157" s="263"/>
      <c r="GB157" s="263"/>
      <c r="GC157" s="263"/>
      <c r="GD157" s="263"/>
      <c r="GE157" s="263"/>
      <c r="GF157" s="263"/>
      <c r="GG157" s="263"/>
      <c r="GH157" s="263"/>
      <c r="GI157" s="263"/>
      <c r="GJ157" s="263"/>
      <c r="GK157" s="263"/>
      <c r="GL157" s="263"/>
      <c r="GM157" s="263"/>
      <c r="GN157" s="263"/>
      <c r="GO157" s="263"/>
      <c r="GP157" s="263"/>
      <c r="GQ157" s="263"/>
      <c r="GR157" s="263"/>
      <c r="GS157" s="263"/>
      <c r="GT157" s="263"/>
      <c r="GU157" s="263"/>
      <c r="GV157" s="263"/>
      <c r="GW157" s="263"/>
      <c r="GX157" s="263"/>
      <c r="GY157" s="263"/>
      <c r="GZ157" s="263"/>
      <c r="HA157" s="263"/>
      <c r="HB157" s="263"/>
      <c r="HC157" s="263"/>
      <c r="HD157" s="263"/>
      <c r="HE157" s="263"/>
      <c r="HF157" s="263"/>
      <c r="HG157" s="263"/>
      <c r="HH157" s="263"/>
      <c r="HI157" s="263"/>
      <c r="HJ157" s="263"/>
      <c r="HK157" s="263"/>
      <c r="HL157" s="263"/>
      <c r="HM157" s="263"/>
      <c r="HN157" s="263"/>
      <c r="HO157" s="263"/>
      <c r="HP157" s="263"/>
      <c r="HQ157" s="263"/>
      <c r="HR157" s="263"/>
      <c r="HS157" s="263"/>
      <c r="HT157" s="263"/>
      <c r="HU157" s="263"/>
      <c r="HV157" s="263"/>
      <c r="HW157" s="263"/>
      <c r="HX157" s="263"/>
      <c r="HY157" s="263"/>
      <c r="HZ157" s="263"/>
      <c r="IA157" s="263"/>
      <c r="IB157" s="263"/>
      <c r="IC157" s="263"/>
      <c r="ID157" s="263"/>
      <c r="IE157" s="263"/>
      <c r="IF157" s="263"/>
      <c r="IG157" s="263"/>
      <c r="IH157" s="263"/>
      <c r="II157" s="263"/>
      <c r="IJ157" s="263"/>
      <c r="IK157" s="263"/>
      <c r="IL157" s="263"/>
      <c r="IM157" s="263"/>
      <c r="IN157" s="263"/>
      <c r="IO157" s="263"/>
      <c r="IP157" s="263"/>
      <c r="IQ157" s="263"/>
      <c r="IR157" s="263"/>
      <c r="IS157" s="263"/>
      <c r="IT157" s="263"/>
      <c r="IU157" s="263"/>
      <c r="IV157" s="263"/>
    </row>
    <row r="158" spans="1:256" ht="15" customHeight="1" x14ac:dyDescent="0.3">
      <c r="A158" s="638">
        <v>37190114</v>
      </c>
      <c r="B158" s="638" t="s">
        <v>506</v>
      </c>
      <c r="C158" s="638">
        <v>201.84</v>
      </c>
      <c r="D158" s="311"/>
      <c r="E158" s="305">
        <f>SUMIF(Adjustments!A:A,A158,Adjustments!C:C)</f>
        <v>0</v>
      </c>
      <c r="F158" s="639">
        <f t="shared" si="1"/>
        <v>201.84</v>
      </c>
      <c r="G158" s="263" t="str">
        <f>VLOOKUP('Trial Balance'!$A158,'Code Allocation'!$A:$D,3,0)</f>
        <v>CRA</v>
      </c>
      <c r="H158" s="266" t="str">
        <f>VLOOKUP('Trial Balance'!$A158,'Code Allocation'!$A:$D,4,0)</f>
        <v>Parks, gardens &amp; open Spaces</v>
      </c>
      <c r="I158" s="267" t="str">
        <f>VLOOKUP('Trial Balance'!$A158,'Code Allocation'!$A:$E,5,0)</f>
        <v>Premises Related Expenses</v>
      </c>
      <c r="J158" s="268" t="str">
        <f>VLOOKUP('Trial Balance'!$A158,'Code Allocation'!$A:$F,6,0)</f>
        <v>Repairs &amp; Maintenance</v>
      </c>
    </row>
    <row r="159" spans="1:256" ht="15" customHeight="1" x14ac:dyDescent="0.3">
      <c r="A159" s="638">
        <v>37190116</v>
      </c>
      <c r="B159" s="638" t="s">
        <v>507</v>
      </c>
      <c r="C159" s="638">
        <v>136.11000000000001</v>
      </c>
      <c r="D159" s="311"/>
      <c r="E159" s="305">
        <f>SUMIF(Adjustments!A:A,A159,Adjustments!C:C)</f>
        <v>0</v>
      </c>
      <c r="F159" s="639">
        <f t="shared" si="1"/>
        <v>136.11000000000001</v>
      </c>
      <c r="G159" s="263" t="str">
        <f>VLOOKUP('Trial Balance'!$A159,'Code Allocation'!$A:$D,3,0)</f>
        <v>CRA</v>
      </c>
      <c r="H159" s="266" t="str">
        <f>VLOOKUP('Trial Balance'!$A159,'Code Allocation'!$A:$D,4,0)</f>
        <v>Parks, gardens &amp; open Spaces</v>
      </c>
      <c r="I159" s="267" t="str">
        <f>VLOOKUP('Trial Balance'!$A159,'Code Allocation'!$A:$E,5,0)</f>
        <v>Supplies and Services</v>
      </c>
      <c r="J159" s="268" t="str">
        <f>VLOOKUP('Trial Balance'!$A159,'Code Allocation'!$A:$F,6,0)</f>
        <v>Cleaning - Materials &amp; Equipment</v>
      </c>
    </row>
    <row r="160" spans="1:256" ht="15" customHeight="1" x14ac:dyDescent="0.3">
      <c r="A160" s="638">
        <v>37190120</v>
      </c>
      <c r="B160" s="638" t="s">
        <v>508</v>
      </c>
      <c r="C160" s="638">
        <v>136.1</v>
      </c>
      <c r="D160" s="311"/>
      <c r="E160" s="305">
        <f>SUMIF(Adjustments!A:A,A160,Adjustments!C:C)</f>
        <v>0</v>
      </c>
      <c r="F160" s="639">
        <f t="shared" si="1"/>
        <v>136.1</v>
      </c>
      <c r="G160" s="263" t="str">
        <f>VLOOKUP('Trial Balance'!$A160,'Code Allocation'!$A:$D,3,0)</f>
        <v>CRA</v>
      </c>
      <c r="H160" s="266" t="str">
        <f>VLOOKUP('Trial Balance'!$A160,'Code Allocation'!$A:$D,4,0)</f>
        <v>Parks, gardens &amp; open Spaces</v>
      </c>
      <c r="I160" s="267" t="str">
        <f>VLOOKUP('Trial Balance'!$A160,'Code Allocation'!$A:$E,5,0)</f>
        <v>Premises Related Expenses</v>
      </c>
      <c r="J160" s="268" t="str">
        <f>VLOOKUP('Trial Balance'!$A160,'Code Allocation'!$A:$F,6,0)</f>
        <v>Repairs &amp; Maintenance</v>
      </c>
    </row>
    <row r="161" spans="1:256" ht="15" customHeight="1" x14ac:dyDescent="0.3">
      <c r="A161" s="638">
        <v>37190126</v>
      </c>
      <c r="B161" s="638" t="s">
        <v>509</v>
      </c>
      <c r="C161" s="638">
        <v>5.36</v>
      </c>
      <c r="D161" s="311"/>
      <c r="E161" s="305">
        <f>SUMIF(Adjustments!A:A,A161,Adjustments!C:C)</f>
        <v>0</v>
      </c>
      <c r="F161" s="639">
        <f t="shared" si="1"/>
        <v>5.36</v>
      </c>
      <c r="G161" s="263" t="str">
        <f>VLOOKUP('Trial Balance'!$A161,'Code Allocation'!$A:$D,3,0)</f>
        <v>CRA</v>
      </c>
      <c r="H161" s="266" t="str">
        <f>VLOOKUP('Trial Balance'!$A161,'Code Allocation'!$A:$D,4,0)</f>
        <v>Parks, gardens &amp; open Spaces</v>
      </c>
      <c r="I161" s="267" t="str">
        <f>VLOOKUP('Trial Balance'!$A161,'Code Allocation'!$A:$E,5,0)</f>
        <v>Premises Related Expenses</v>
      </c>
      <c r="J161" s="268" t="str">
        <f>VLOOKUP('Trial Balance'!$A161,'Code Allocation'!$A:$F,6,0)</f>
        <v>Repairs &amp; Maintenance</v>
      </c>
    </row>
    <row r="162" spans="1:256" ht="15" customHeight="1" x14ac:dyDescent="0.3">
      <c r="A162" s="638">
        <v>37190145</v>
      </c>
      <c r="B162" s="638" t="s">
        <v>510</v>
      </c>
      <c r="C162" s="638">
        <v>820</v>
      </c>
      <c r="D162" s="311"/>
      <c r="E162" s="305">
        <f>SUMIF(Adjustments!A:A,A162,Adjustments!C:C)</f>
        <v>0</v>
      </c>
      <c r="F162" s="639">
        <f t="shared" si="1"/>
        <v>820</v>
      </c>
      <c r="G162" s="263" t="str">
        <f>VLOOKUP('Trial Balance'!$A162,'Code Allocation'!$A:$D,3,0)</f>
        <v>CRA</v>
      </c>
      <c r="H162" s="266" t="str">
        <f>VLOOKUP('Trial Balance'!$A162,'Code Allocation'!$A:$D,4,0)</f>
        <v>Parks, gardens &amp; open Spaces</v>
      </c>
      <c r="I162" s="267" t="str">
        <f>VLOOKUP('Trial Balance'!$A162,'Code Allocation'!$A:$E,5,0)</f>
        <v>Premises Related Expenses</v>
      </c>
      <c r="J162" s="268" t="str">
        <f>VLOOKUP('Trial Balance'!$A162,'Code Allocation'!$A:$F,6,0)</f>
        <v>Repairs &amp; Maintenance</v>
      </c>
    </row>
    <row r="163" spans="1:256" ht="15" customHeight="1" x14ac:dyDescent="0.3">
      <c r="A163" s="638">
        <v>37190166</v>
      </c>
      <c r="B163" s="638" t="s">
        <v>511</v>
      </c>
      <c r="C163" s="638">
        <v>325</v>
      </c>
      <c r="D163" s="311"/>
      <c r="E163" s="305">
        <f>SUMIF(Adjustments!A:A,A163,Adjustments!C:C)</f>
        <v>0</v>
      </c>
      <c r="F163" s="639">
        <f t="shared" si="1"/>
        <v>325</v>
      </c>
      <c r="G163" s="263" t="str">
        <f>VLOOKUP('Trial Balance'!$A163,'Code Allocation'!$A:$D,3,0)</f>
        <v>CRA</v>
      </c>
      <c r="H163" s="266" t="str">
        <f>VLOOKUP('Trial Balance'!$A163,'Code Allocation'!$A:$D,4,0)</f>
        <v>Parks, gardens &amp; open Spaces</v>
      </c>
      <c r="I163" s="267" t="str">
        <f>VLOOKUP('Trial Balance'!$A163,'Code Allocation'!$A:$E,5,0)</f>
        <v>Premises Related Expenses</v>
      </c>
      <c r="J163" s="268" t="str">
        <f>VLOOKUP('Trial Balance'!$A163,'Code Allocation'!$A:$F,6,0)</f>
        <v>Repairs &amp; Maintenance</v>
      </c>
    </row>
    <row r="164" spans="1:256" s="268" customFormat="1" ht="15" customHeight="1" x14ac:dyDescent="0.3">
      <c r="A164" s="638">
        <v>37190311</v>
      </c>
      <c r="B164" s="638" t="s">
        <v>512</v>
      </c>
      <c r="C164" s="638">
        <v>70</v>
      </c>
      <c r="D164" s="311"/>
      <c r="E164" s="305">
        <f>SUMIF(Adjustments!A:A,A164,Adjustments!C:C)</f>
        <v>0</v>
      </c>
      <c r="F164" s="639">
        <f t="shared" si="1"/>
        <v>70</v>
      </c>
      <c r="G164" s="263" t="str">
        <f>VLOOKUP('Trial Balance'!$A164,'Code Allocation'!$A:$D,3,0)</f>
        <v>CRA</v>
      </c>
      <c r="H164" s="266" t="str">
        <f>VLOOKUP('Trial Balance'!$A164,'Code Allocation'!$A:$D,4,0)</f>
        <v>Parks, gardens &amp; open Spaces</v>
      </c>
      <c r="I164" s="267" t="str">
        <f>VLOOKUP('Trial Balance'!$A164,'Code Allocation'!$A:$E,5,0)</f>
        <v>Premises Related Expenses</v>
      </c>
      <c r="J164" s="268" t="str">
        <f>VLOOKUP('Trial Balance'!$A164,'Code Allocation'!$A:$F,6,0)</f>
        <v>Repairs &amp; Maintenance</v>
      </c>
      <c r="K164" s="263"/>
      <c r="L164" s="263"/>
      <c r="M164" s="263"/>
      <c r="N164" s="263"/>
      <c r="O164" s="263"/>
      <c r="P164" s="263"/>
      <c r="Q164" s="263"/>
      <c r="R164" s="263"/>
      <c r="S164" s="263"/>
      <c r="T164" s="263"/>
      <c r="U164" s="263"/>
      <c r="V164" s="263"/>
      <c r="W164" s="263"/>
      <c r="X164" s="263"/>
      <c r="Y164" s="263"/>
      <c r="Z164" s="263"/>
      <c r="AA164" s="263"/>
      <c r="AB164" s="263"/>
      <c r="AC164" s="263"/>
      <c r="AD164" s="263"/>
      <c r="AE164" s="263"/>
      <c r="AF164" s="263"/>
      <c r="AG164" s="263"/>
      <c r="AH164" s="263"/>
      <c r="AI164" s="263"/>
      <c r="AJ164" s="263"/>
      <c r="AK164" s="263"/>
      <c r="AL164" s="263"/>
      <c r="AM164" s="263"/>
      <c r="AN164" s="263"/>
      <c r="AO164" s="263"/>
      <c r="AP164" s="263"/>
      <c r="AQ164" s="263"/>
      <c r="AR164" s="263"/>
      <c r="AS164" s="263"/>
      <c r="AT164" s="263"/>
      <c r="AU164" s="263"/>
      <c r="AV164" s="263"/>
      <c r="AW164" s="263"/>
      <c r="AX164" s="263"/>
      <c r="AY164" s="263"/>
      <c r="AZ164" s="263"/>
      <c r="BA164" s="263"/>
      <c r="BB164" s="263"/>
      <c r="BC164" s="263"/>
      <c r="BD164" s="263"/>
      <c r="BE164" s="263"/>
      <c r="BF164" s="263"/>
      <c r="BG164" s="263"/>
      <c r="BH164" s="263"/>
      <c r="BI164" s="263"/>
      <c r="BJ164" s="263"/>
      <c r="BK164" s="263"/>
      <c r="BL164" s="263"/>
      <c r="BM164" s="263"/>
      <c r="BN164" s="263"/>
      <c r="BO164" s="263"/>
      <c r="BP164" s="263"/>
      <c r="BQ164" s="263"/>
      <c r="BR164" s="263"/>
      <c r="BS164" s="263"/>
      <c r="BT164" s="263"/>
      <c r="BU164" s="263"/>
      <c r="BV164" s="263"/>
      <c r="BW164" s="263"/>
      <c r="BX164" s="263"/>
      <c r="BY164" s="263"/>
      <c r="BZ164" s="263"/>
      <c r="CA164" s="263"/>
      <c r="CB164" s="263"/>
      <c r="CC164" s="263"/>
      <c r="CD164" s="263"/>
      <c r="CE164" s="263"/>
      <c r="CF164" s="263"/>
      <c r="CG164" s="263"/>
      <c r="CH164" s="263"/>
      <c r="CI164" s="263"/>
      <c r="CJ164" s="263"/>
      <c r="CK164" s="263"/>
      <c r="CL164" s="263"/>
      <c r="CM164" s="263"/>
      <c r="CN164" s="263"/>
      <c r="CO164" s="263"/>
      <c r="CP164" s="263"/>
      <c r="CQ164" s="263"/>
      <c r="CR164" s="263"/>
      <c r="CS164" s="263"/>
      <c r="CT164" s="263"/>
      <c r="CU164" s="263"/>
      <c r="CV164" s="263"/>
      <c r="CW164" s="263"/>
      <c r="CX164" s="263"/>
      <c r="CY164" s="263"/>
      <c r="CZ164" s="263"/>
      <c r="DA164" s="263"/>
      <c r="DB164" s="263"/>
      <c r="DC164" s="263"/>
      <c r="DD164" s="263"/>
      <c r="DE164" s="263"/>
      <c r="DF164" s="263"/>
      <c r="DG164" s="263"/>
      <c r="DH164" s="263"/>
      <c r="DI164" s="263"/>
      <c r="DJ164" s="263"/>
      <c r="DK164" s="263"/>
      <c r="DL164" s="263"/>
      <c r="DM164" s="263"/>
      <c r="DN164" s="263"/>
      <c r="DO164" s="263"/>
      <c r="DP164" s="263"/>
      <c r="DQ164" s="263"/>
      <c r="DR164" s="263"/>
      <c r="DS164" s="263"/>
      <c r="DT164" s="263"/>
      <c r="DU164" s="263"/>
      <c r="DV164" s="263"/>
      <c r="DW164" s="263"/>
      <c r="DX164" s="263"/>
      <c r="DY164" s="263"/>
      <c r="DZ164" s="263"/>
      <c r="EA164" s="263"/>
      <c r="EB164" s="263"/>
      <c r="EC164" s="263"/>
      <c r="ED164" s="263"/>
      <c r="EE164" s="263"/>
      <c r="EF164" s="263"/>
      <c r="EG164" s="263"/>
      <c r="EH164" s="263"/>
      <c r="EI164" s="263"/>
      <c r="EJ164" s="263"/>
      <c r="EK164" s="263"/>
      <c r="EL164" s="263"/>
      <c r="EM164" s="263"/>
      <c r="EN164" s="263"/>
      <c r="EO164" s="263"/>
      <c r="EP164" s="263"/>
      <c r="EQ164" s="263"/>
      <c r="ER164" s="263"/>
      <c r="ES164" s="263"/>
      <c r="ET164" s="263"/>
      <c r="EU164" s="263"/>
      <c r="EV164" s="263"/>
      <c r="EW164" s="263"/>
      <c r="EX164" s="263"/>
      <c r="EY164" s="263"/>
      <c r="EZ164" s="263"/>
      <c r="FA164" s="263"/>
      <c r="FB164" s="263"/>
      <c r="FC164" s="263"/>
      <c r="FD164" s="263"/>
      <c r="FE164" s="263"/>
      <c r="FF164" s="263"/>
      <c r="FG164" s="263"/>
      <c r="FH164" s="263"/>
      <c r="FI164" s="263"/>
      <c r="FJ164" s="263"/>
      <c r="FK164" s="263"/>
      <c r="FL164" s="263"/>
      <c r="FM164" s="263"/>
      <c r="FN164" s="263"/>
      <c r="FO164" s="263"/>
      <c r="FP164" s="263"/>
      <c r="FQ164" s="263"/>
      <c r="FR164" s="263"/>
      <c r="FS164" s="263"/>
      <c r="FT164" s="263"/>
      <c r="FU164" s="263"/>
      <c r="FV164" s="263"/>
      <c r="FW164" s="263"/>
      <c r="FX164" s="263"/>
      <c r="FY164" s="263"/>
      <c r="FZ164" s="263"/>
      <c r="GA164" s="263"/>
      <c r="GB164" s="263"/>
      <c r="GC164" s="263"/>
      <c r="GD164" s="263"/>
      <c r="GE164" s="263"/>
      <c r="GF164" s="263"/>
      <c r="GG164" s="263"/>
      <c r="GH164" s="263"/>
      <c r="GI164" s="263"/>
      <c r="GJ164" s="263"/>
      <c r="GK164" s="263"/>
      <c r="GL164" s="263"/>
      <c r="GM164" s="263"/>
      <c r="GN164" s="263"/>
      <c r="GO164" s="263"/>
      <c r="GP164" s="263"/>
      <c r="GQ164" s="263"/>
      <c r="GR164" s="263"/>
      <c r="GS164" s="263"/>
      <c r="GT164" s="263"/>
      <c r="GU164" s="263"/>
      <c r="GV164" s="263"/>
      <c r="GW164" s="263"/>
      <c r="GX164" s="263"/>
      <c r="GY164" s="263"/>
      <c r="GZ164" s="263"/>
      <c r="HA164" s="263"/>
      <c r="HB164" s="263"/>
      <c r="HC164" s="263"/>
      <c r="HD164" s="263"/>
      <c r="HE164" s="263"/>
      <c r="HF164" s="263"/>
      <c r="HG164" s="263"/>
      <c r="HH164" s="263"/>
      <c r="HI164" s="263"/>
      <c r="HJ164" s="263"/>
      <c r="HK164" s="263"/>
      <c r="HL164" s="263"/>
      <c r="HM164" s="263"/>
      <c r="HN164" s="263"/>
      <c r="HO164" s="263"/>
      <c r="HP164" s="263"/>
      <c r="HQ164" s="263"/>
      <c r="HR164" s="263"/>
      <c r="HS164" s="263"/>
      <c r="HT164" s="263"/>
      <c r="HU164" s="263"/>
      <c r="HV164" s="263"/>
      <c r="HW164" s="263"/>
      <c r="HX164" s="263"/>
      <c r="HY164" s="263"/>
      <c r="HZ164" s="263"/>
      <c r="IA164" s="263"/>
      <c r="IB164" s="263"/>
      <c r="IC164" s="263"/>
      <c r="ID164" s="263"/>
      <c r="IE164" s="263"/>
      <c r="IF164" s="263"/>
      <c r="IG164" s="263"/>
      <c r="IH164" s="263"/>
      <c r="II164" s="263"/>
      <c r="IJ164" s="263"/>
      <c r="IK164" s="263"/>
      <c r="IL164" s="263"/>
      <c r="IM164" s="263"/>
      <c r="IN164" s="263"/>
      <c r="IO164" s="263"/>
      <c r="IP164" s="263"/>
      <c r="IQ164" s="263"/>
      <c r="IR164" s="263"/>
      <c r="IS164" s="263"/>
      <c r="IT164" s="263"/>
      <c r="IU164" s="263"/>
      <c r="IV164" s="263"/>
    </row>
    <row r="165" spans="1:256" ht="15" customHeight="1" x14ac:dyDescent="0.3">
      <c r="A165" s="638">
        <v>37190320</v>
      </c>
      <c r="B165" s="638" t="s">
        <v>513</v>
      </c>
      <c r="C165" s="311"/>
      <c r="D165" s="638">
        <v>295</v>
      </c>
      <c r="E165" s="305">
        <f>SUMIF(Adjustments!A:A,A165,Adjustments!C:C)</f>
        <v>0</v>
      </c>
      <c r="F165" s="639">
        <f t="shared" si="1"/>
        <v>-295</v>
      </c>
      <c r="G165" s="263" t="str">
        <f>VLOOKUP('Trial Balance'!$A165,'Code Allocation'!$A:$D,3,0)</f>
        <v>CRA</v>
      </c>
      <c r="H165" s="266" t="str">
        <f>VLOOKUP('Trial Balance'!$A165,'Code Allocation'!$A:$D,4,0)</f>
        <v>Parks, gardens &amp; open Spaces</v>
      </c>
      <c r="I165" s="267" t="str">
        <f>VLOOKUP('Trial Balance'!$A165,'Code Allocation'!$A:$E,5,0)</f>
        <v>Premises Related Expenses</v>
      </c>
      <c r="J165" s="268" t="str">
        <f>VLOOKUP('Trial Balance'!$A165,'Code Allocation'!$A:$F,6,0)</f>
        <v>Repairs &amp; Maintenance</v>
      </c>
    </row>
    <row r="166" spans="1:256" ht="15" customHeight="1" x14ac:dyDescent="0.3">
      <c r="A166" s="638">
        <v>37190326</v>
      </c>
      <c r="B166" s="638" t="s">
        <v>514</v>
      </c>
      <c r="C166" s="638">
        <v>205</v>
      </c>
      <c r="D166" s="311"/>
      <c r="E166" s="305">
        <f>SUMIF(Adjustments!A:A,A166,Adjustments!C:C)</f>
        <v>0</v>
      </c>
      <c r="F166" s="639">
        <f t="shared" si="1"/>
        <v>205</v>
      </c>
      <c r="G166" s="263" t="str">
        <f>VLOOKUP('Trial Balance'!$A166,'Code Allocation'!$A:$D,3,0)</f>
        <v>CRA</v>
      </c>
      <c r="H166" s="266" t="str">
        <f>VLOOKUP('Trial Balance'!$A166,'Code Allocation'!$A:$D,4,0)</f>
        <v>Parks, gardens &amp; open Spaces</v>
      </c>
      <c r="I166" s="267" t="str">
        <f>VLOOKUP('Trial Balance'!$A166,'Code Allocation'!$A:$E,5,0)</f>
        <v>Premises Related Expenses</v>
      </c>
      <c r="J166" s="268" t="str">
        <f>VLOOKUP('Trial Balance'!$A166,'Code Allocation'!$A:$F,6,0)</f>
        <v>Repairs &amp; Maintenance</v>
      </c>
    </row>
    <row r="167" spans="1:256" ht="15" customHeight="1" x14ac:dyDescent="0.3">
      <c r="A167" s="638">
        <v>37190415</v>
      </c>
      <c r="B167" s="638" t="s">
        <v>515</v>
      </c>
      <c r="C167" s="638">
        <v>442.19</v>
      </c>
      <c r="D167" s="311"/>
      <c r="E167" s="305">
        <f>SUMIF(Adjustments!A:A,A167,Adjustments!C:C)</f>
        <v>0</v>
      </c>
      <c r="F167" s="639">
        <f t="shared" si="1"/>
        <v>442.19</v>
      </c>
      <c r="G167" s="263" t="str">
        <f>VLOOKUP('Trial Balance'!$A167,'Code Allocation'!$A:$D,3,0)</f>
        <v>CRA</v>
      </c>
      <c r="H167" s="266" t="str">
        <f>VLOOKUP('Trial Balance'!$A167,'Code Allocation'!$A:$D,4,0)</f>
        <v>Parks, gardens &amp; open Spaces</v>
      </c>
      <c r="I167" s="267" t="str">
        <f>VLOOKUP('Trial Balance'!$A167,'Code Allocation'!$A:$E,5,0)</f>
        <v>Premises Related Expenses</v>
      </c>
      <c r="J167" s="268" t="str">
        <f>VLOOKUP('Trial Balance'!$A167,'Code Allocation'!$A:$F,6,0)</f>
        <v>Repairs &amp; Maintenance</v>
      </c>
    </row>
    <row r="168" spans="1:256" ht="15" customHeight="1" x14ac:dyDescent="0.3">
      <c r="A168" s="638">
        <v>37190428</v>
      </c>
      <c r="B168" s="638" t="s">
        <v>516</v>
      </c>
      <c r="C168" s="638">
        <v>128.29</v>
      </c>
      <c r="D168" s="311"/>
      <c r="E168" s="305">
        <f>SUMIF(Adjustments!A:A,A168,Adjustments!C:C)</f>
        <v>0</v>
      </c>
      <c r="F168" s="639">
        <f t="shared" si="1"/>
        <v>128.29</v>
      </c>
      <c r="G168" s="263" t="str">
        <f>VLOOKUP('Trial Balance'!$A168,'Code Allocation'!$A:$D,3,0)</f>
        <v>CRA</v>
      </c>
      <c r="H168" s="266" t="str">
        <f>VLOOKUP('Trial Balance'!$A168,'Code Allocation'!$A:$D,4,0)</f>
        <v>Parks, gardens &amp; open Spaces</v>
      </c>
      <c r="I168" s="267" t="str">
        <f>VLOOKUP('Trial Balance'!$A168,'Code Allocation'!$A:$E,5,0)</f>
        <v>Premises Related Expenses</v>
      </c>
      <c r="J168" s="268" t="str">
        <f>VLOOKUP('Trial Balance'!$A168,'Code Allocation'!$A:$F,6,0)</f>
        <v>Repairs &amp; Maintenance</v>
      </c>
    </row>
    <row r="169" spans="1:256" ht="15" customHeight="1" x14ac:dyDescent="0.3">
      <c r="A169" s="638">
        <v>37190511</v>
      </c>
      <c r="B169" s="638" t="s">
        <v>517</v>
      </c>
      <c r="C169" s="638">
        <v>430</v>
      </c>
      <c r="D169" s="311"/>
      <c r="E169" s="305">
        <f>SUMIF(Adjustments!A:A,A169,Adjustments!C:C)</f>
        <v>0</v>
      </c>
      <c r="F169" s="639">
        <f t="shared" si="1"/>
        <v>430</v>
      </c>
      <c r="G169" s="263" t="str">
        <f>VLOOKUP('Trial Balance'!$A169,'Code Allocation'!$A:$D,3,0)</f>
        <v>CRA</v>
      </c>
      <c r="H169" s="266" t="str">
        <f>VLOOKUP('Trial Balance'!$A169,'Code Allocation'!$A:$D,4,0)</f>
        <v>Parks, gardens &amp; open Spaces</v>
      </c>
      <c r="I169" s="267" t="str">
        <f>VLOOKUP('Trial Balance'!$A169,'Code Allocation'!$A:$E,5,0)</f>
        <v>Premises Related Expenses</v>
      </c>
      <c r="J169" s="268" t="str">
        <f>VLOOKUP('Trial Balance'!$A169,'Code Allocation'!$A:$F,6,0)</f>
        <v>Repairs &amp; Maintenance</v>
      </c>
    </row>
    <row r="170" spans="1:256" ht="15" customHeight="1" x14ac:dyDescent="0.3">
      <c r="A170" s="638">
        <v>37190514</v>
      </c>
      <c r="B170" s="638" t="s">
        <v>518</v>
      </c>
      <c r="C170" s="638">
        <v>504.35</v>
      </c>
      <c r="D170" s="311"/>
      <c r="E170" s="305">
        <f>SUMIF(Adjustments!A:A,A170,Adjustments!C:C)</f>
        <v>0</v>
      </c>
      <c r="F170" s="639">
        <f t="shared" si="1"/>
        <v>504.35</v>
      </c>
      <c r="G170" s="263" t="str">
        <f>VLOOKUP('Trial Balance'!$A170,'Code Allocation'!$A:$D,3,0)</f>
        <v>CRA</v>
      </c>
      <c r="H170" s="266" t="str">
        <f>VLOOKUP('Trial Balance'!$A170,'Code Allocation'!$A:$D,4,0)</f>
        <v>Parks, gardens &amp; open Spaces</v>
      </c>
      <c r="I170" s="267" t="str">
        <f>VLOOKUP('Trial Balance'!$A170,'Code Allocation'!$A:$E,5,0)</f>
        <v>Premises Related Expenses</v>
      </c>
      <c r="J170" s="268" t="str">
        <f>VLOOKUP('Trial Balance'!$A170,'Code Allocation'!$A:$F,6,0)</f>
        <v>Repairs &amp; Maintenance</v>
      </c>
    </row>
    <row r="171" spans="1:256" ht="15" customHeight="1" x14ac:dyDescent="0.3">
      <c r="A171" s="638">
        <v>37190515</v>
      </c>
      <c r="B171" s="638" t="s">
        <v>519</v>
      </c>
      <c r="C171" s="638">
        <v>54.14</v>
      </c>
      <c r="D171" s="311"/>
      <c r="E171" s="305">
        <f>SUMIF(Adjustments!A:A,A171,Adjustments!C:C)</f>
        <v>0</v>
      </c>
      <c r="F171" s="639">
        <f t="shared" ref="F171:F234" si="2">C171-D171+E171</f>
        <v>54.14</v>
      </c>
      <c r="G171" s="263" t="str">
        <f>VLOOKUP('Trial Balance'!$A171,'Code Allocation'!$A:$D,3,0)</f>
        <v>CRA</v>
      </c>
      <c r="H171" s="266" t="str">
        <f>VLOOKUP('Trial Balance'!$A171,'Code Allocation'!$A:$D,4,0)</f>
        <v>Parks, gardens &amp; open Spaces</v>
      </c>
      <c r="I171" s="267" t="str">
        <f>VLOOKUP('Trial Balance'!$A171,'Code Allocation'!$A:$E,5,0)</f>
        <v>Premises Related Expenses</v>
      </c>
      <c r="J171" s="268" t="str">
        <f>VLOOKUP('Trial Balance'!$A171,'Code Allocation'!$A:$F,6,0)</f>
        <v>Repairs &amp; Maintenance</v>
      </c>
    </row>
    <row r="172" spans="1:256" ht="15" customHeight="1" x14ac:dyDescent="0.3">
      <c r="A172" s="638">
        <v>37190526</v>
      </c>
      <c r="B172" s="638" t="s">
        <v>520</v>
      </c>
      <c r="C172" s="638">
        <v>199.17</v>
      </c>
      <c r="D172" s="311"/>
      <c r="E172" s="305">
        <f>SUMIF(Adjustments!A:A,A172,Adjustments!C:C)</f>
        <v>0</v>
      </c>
      <c r="F172" s="639">
        <f t="shared" si="2"/>
        <v>199.17</v>
      </c>
      <c r="G172" s="263" t="str">
        <f>VLOOKUP('Trial Balance'!$A172,'Code Allocation'!$A:$D,3,0)</f>
        <v>CRA</v>
      </c>
      <c r="H172" s="266" t="str">
        <f>VLOOKUP('Trial Balance'!$A172,'Code Allocation'!$A:$D,4,0)</f>
        <v>Parks, gardens &amp; open Spaces</v>
      </c>
      <c r="I172" s="267" t="str">
        <f>VLOOKUP('Trial Balance'!$A172,'Code Allocation'!$A:$E,5,0)</f>
        <v>Premises Related Expenses</v>
      </c>
      <c r="J172" s="268" t="str">
        <f>VLOOKUP('Trial Balance'!$A172,'Code Allocation'!$A:$F,6,0)</f>
        <v>Repairs &amp; Maintenance</v>
      </c>
    </row>
    <row r="173" spans="1:256" ht="15" customHeight="1" x14ac:dyDescent="0.3">
      <c r="A173" s="638">
        <v>37190527</v>
      </c>
      <c r="B173" s="638" t="s">
        <v>521</v>
      </c>
      <c r="C173" s="638">
        <v>652.5</v>
      </c>
      <c r="D173" s="311"/>
      <c r="E173" s="305">
        <f>SUMIF(Adjustments!A:A,A173,Adjustments!C:C)</f>
        <v>0</v>
      </c>
      <c r="F173" s="639">
        <f t="shared" si="2"/>
        <v>652.5</v>
      </c>
      <c r="G173" s="263" t="str">
        <f>VLOOKUP('Trial Balance'!$A173,'Code Allocation'!$A:$D,3,0)</f>
        <v>CRA</v>
      </c>
      <c r="H173" s="266" t="str">
        <f>VLOOKUP('Trial Balance'!$A173,'Code Allocation'!$A:$D,4,0)</f>
        <v>Parks, gardens &amp; open Spaces</v>
      </c>
      <c r="I173" s="267" t="str">
        <f>VLOOKUP('Trial Balance'!$A173,'Code Allocation'!$A:$E,5,0)</f>
        <v>Premises Related Expenses</v>
      </c>
      <c r="J173" s="268" t="str">
        <f>VLOOKUP('Trial Balance'!$A173,'Code Allocation'!$A:$F,6,0)</f>
        <v>Repairs &amp; Maintenance</v>
      </c>
    </row>
    <row r="174" spans="1:256" ht="15" customHeight="1" x14ac:dyDescent="0.3">
      <c r="A174" s="638">
        <v>37190528</v>
      </c>
      <c r="B174" s="638" t="s">
        <v>522</v>
      </c>
      <c r="C174" s="638">
        <v>623.82000000000005</v>
      </c>
      <c r="D174" s="311"/>
      <c r="E174" s="305">
        <f>SUMIF(Adjustments!A:A,A174,Adjustments!C:C)</f>
        <v>0</v>
      </c>
      <c r="F174" s="639">
        <f t="shared" si="2"/>
        <v>623.82000000000005</v>
      </c>
      <c r="G174" s="263" t="str">
        <f>VLOOKUP('Trial Balance'!$A174,'Code Allocation'!$A:$D,3,0)</f>
        <v>CRA</v>
      </c>
      <c r="H174" s="266" t="str">
        <f>VLOOKUP('Trial Balance'!$A174,'Code Allocation'!$A:$D,4,0)</f>
        <v>Parks, gardens &amp; open Spaces</v>
      </c>
      <c r="I174" s="267" t="str">
        <f>VLOOKUP('Trial Balance'!$A174,'Code Allocation'!$A:$E,5,0)</f>
        <v>Premises Related Expenses</v>
      </c>
      <c r="J174" s="268" t="str">
        <f>VLOOKUP('Trial Balance'!$A174,'Code Allocation'!$A:$F,6,0)</f>
        <v>Repairs &amp; Maintenance</v>
      </c>
    </row>
    <row r="175" spans="1:256" ht="15" customHeight="1" x14ac:dyDescent="0.3">
      <c r="A175" s="638">
        <v>37190545</v>
      </c>
      <c r="B175" s="638" t="s">
        <v>523</v>
      </c>
      <c r="C175" s="638">
        <v>56.11</v>
      </c>
      <c r="D175" s="311"/>
      <c r="E175" s="305">
        <f>SUMIF(Adjustments!A:A,A175,Adjustments!C:C)</f>
        <v>0</v>
      </c>
      <c r="F175" s="639">
        <f t="shared" si="2"/>
        <v>56.11</v>
      </c>
      <c r="G175" s="263" t="str">
        <f>VLOOKUP('Trial Balance'!$A175,'Code Allocation'!$A:$D,3,0)</f>
        <v>CRA</v>
      </c>
      <c r="H175" s="266" t="str">
        <f>VLOOKUP('Trial Balance'!$A175,'Code Allocation'!$A:$D,4,0)</f>
        <v>Parks, gardens &amp; open Spaces</v>
      </c>
      <c r="I175" s="267" t="str">
        <f>VLOOKUP('Trial Balance'!$A175,'Code Allocation'!$A:$E,5,0)</f>
        <v>Premises Related Expenses</v>
      </c>
      <c r="J175" s="268" t="str">
        <f>VLOOKUP('Trial Balance'!$A175,'Code Allocation'!$A:$F,6,0)</f>
        <v>Repairs &amp; Maintenance</v>
      </c>
    </row>
    <row r="176" spans="1:256" ht="15" customHeight="1" x14ac:dyDescent="0.3">
      <c r="A176" s="638">
        <v>37190566</v>
      </c>
      <c r="B176" s="638" t="s">
        <v>524</v>
      </c>
      <c r="C176" s="638">
        <v>370.85</v>
      </c>
      <c r="D176" s="311"/>
      <c r="E176" s="305">
        <f>SUMIF(Adjustments!A:A,A176,Adjustments!C:C)</f>
        <v>0</v>
      </c>
      <c r="F176" s="639">
        <f t="shared" si="2"/>
        <v>370.85</v>
      </c>
      <c r="G176" s="263" t="str">
        <f>VLOOKUP('Trial Balance'!$A176,'Code Allocation'!$A:$D,3,0)</f>
        <v>CRA</v>
      </c>
      <c r="H176" s="266" t="str">
        <f>VLOOKUP('Trial Balance'!$A176,'Code Allocation'!$A:$D,4,0)</f>
        <v>Parks, gardens &amp; open Spaces</v>
      </c>
      <c r="I176" s="267" t="str">
        <f>VLOOKUP('Trial Balance'!$A176,'Code Allocation'!$A:$E,5,0)</f>
        <v>Premises Related Expenses</v>
      </c>
      <c r="J176" s="268" t="str">
        <f>VLOOKUP('Trial Balance'!$A176,'Code Allocation'!$A:$F,6,0)</f>
        <v>Repairs &amp; Maintenance</v>
      </c>
    </row>
    <row r="177" spans="1:256" ht="15" customHeight="1" x14ac:dyDescent="0.3">
      <c r="A177" s="638">
        <v>37300199</v>
      </c>
      <c r="B177" s="638" t="s">
        <v>379</v>
      </c>
      <c r="C177" s="638">
        <v>510.74</v>
      </c>
      <c r="D177" s="311"/>
      <c r="E177" s="305">
        <f>SUMIF(Adjustments!A:A,A177,Adjustments!C:C)</f>
        <v>0</v>
      </c>
      <c r="F177" s="639">
        <f t="shared" si="2"/>
        <v>510.74</v>
      </c>
      <c r="G177" s="263" t="str">
        <f>VLOOKUP('Trial Balance'!$A177,'Code Allocation'!$A:$D,3,0)</f>
        <v>CRA</v>
      </c>
      <c r="H177" s="266" t="str">
        <f>VLOOKUP('Trial Balance'!$A177,'Code Allocation'!$A:$D,4,0)</f>
        <v>Parks, gardens &amp; open Spaces</v>
      </c>
      <c r="I177" s="267" t="str">
        <f>VLOOKUP('Trial Balance'!$A177,'Code Allocation'!$A:$E,5,0)</f>
        <v>Transport related expenses</v>
      </c>
      <c r="J177" s="268" t="str">
        <f>VLOOKUP('Trial Balance'!$A177,'Code Allocation'!$A:$F,6,0)</f>
        <v>Transport - Pick-up</v>
      </c>
    </row>
    <row r="178" spans="1:256" ht="15" customHeight="1" x14ac:dyDescent="0.3">
      <c r="A178" s="638">
        <v>37300299</v>
      </c>
      <c r="B178" s="638" t="s">
        <v>525</v>
      </c>
      <c r="C178" s="638">
        <v>101.29</v>
      </c>
      <c r="D178" s="311"/>
      <c r="E178" s="305">
        <f>SUMIF(Adjustments!A:A,A178,Adjustments!C:C)</f>
        <v>0</v>
      </c>
      <c r="F178" s="639">
        <f t="shared" si="2"/>
        <v>101.29</v>
      </c>
      <c r="G178" s="263" t="str">
        <f>VLOOKUP('Trial Balance'!$A178,'Code Allocation'!$A:$D,3,0)</f>
        <v>CRA</v>
      </c>
      <c r="H178" s="266" t="str">
        <f>VLOOKUP('Trial Balance'!$A178,'Code Allocation'!$A:$D,4,0)</f>
        <v>Parks, gardens &amp; open Spaces</v>
      </c>
      <c r="I178" s="267" t="str">
        <f>VLOOKUP('Trial Balance'!$A178,'Code Allocation'!$A:$E,5,0)</f>
        <v>Transport related expenses</v>
      </c>
      <c r="J178" s="268" t="str">
        <f>VLOOKUP('Trial Balance'!$A178,'Code Allocation'!$A:$F,6,0)</f>
        <v>Transport - Pick-up</v>
      </c>
    </row>
    <row r="179" spans="1:256" ht="15" customHeight="1" x14ac:dyDescent="0.3">
      <c r="A179" s="638">
        <v>37300399</v>
      </c>
      <c r="B179" s="638" t="s">
        <v>379</v>
      </c>
      <c r="C179" s="638">
        <v>192.36</v>
      </c>
      <c r="D179" s="311"/>
      <c r="E179" s="305">
        <f>SUMIF(Adjustments!A:A,A179,Adjustments!C:C)</f>
        <v>0</v>
      </c>
      <c r="F179" s="642">
        <f t="shared" si="2"/>
        <v>192.36</v>
      </c>
      <c r="G179" s="263" t="str">
        <f>VLOOKUP('Trial Balance'!$A179,'Code Allocation'!$A:$D,3,0)</f>
        <v>CRA</v>
      </c>
      <c r="H179" s="266" t="str">
        <f>VLOOKUP('Trial Balance'!$A179,'Code Allocation'!$A:$D,4,0)</f>
        <v>Parks, gardens &amp; open Spaces</v>
      </c>
      <c r="I179" s="267" t="str">
        <f>VLOOKUP('Trial Balance'!$A179,'Code Allocation'!$A:$E,5,0)</f>
        <v>Transport related expenses</v>
      </c>
      <c r="J179" s="268" t="str">
        <f>VLOOKUP('Trial Balance'!$A179,'Code Allocation'!$A:$F,6,0)</f>
        <v>Transport - Pick-up</v>
      </c>
    </row>
    <row r="180" spans="1:256" ht="15" customHeight="1" x14ac:dyDescent="0.3">
      <c r="A180" s="638">
        <v>37310199</v>
      </c>
      <c r="B180" s="638" t="s">
        <v>380</v>
      </c>
      <c r="C180" s="640">
        <v>1651.13</v>
      </c>
      <c r="D180" s="311"/>
      <c r="E180" s="305">
        <f>SUMIF(Adjustments!A:A,A180,Adjustments!C:C)</f>
        <v>0</v>
      </c>
      <c r="F180" s="642">
        <f t="shared" si="2"/>
        <v>1651.13</v>
      </c>
      <c r="G180" s="263" t="str">
        <f>VLOOKUP('Trial Balance'!$A180,'Code Allocation'!$A:$D,3,0)</f>
        <v>CRA</v>
      </c>
      <c r="H180" s="266" t="str">
        <f>VLOOKUP('Trial Balance'!$A180,'Code Allocation'!$A:$D,4,0)</f>
        <v>Parks, gardens &amp; open Spaces</v>
      </c>
      <c r="I180" s="267" t="str">
        <f>VLOOKUP('Trial Balance'!$A180,'Code Allocation'!$A:$E,5,0)</f>
        <v>Transport related expenses</v>
      </c>
      <c r="J180" s="268" t="str">
        <f>VLOOKUP('Trial Balance'!$A180,'Code Allocation'!$A:$F,6,0)</f>
        <v>Transport - Pick-up</v>
      </c>
    </row>
    <row r="181" spans="1:256" s="281" customFormat="1" ht="15" customHeight="1" x14ac:dyDescent="0.3">
      <c r="A181" s="638">
        <v>37310299</v>
      </c>
      <c r="B181" s="638" t="s">
        <v>381</v>
      </c>
      <c r="C181" s="638">
        <v>140.77000000000001</v>
      </c>
      <c r="D181" s="311"/>
      <c r="E181" s="305">
        <f>SUMIF(Adjustments!A:A,A181,Adjustments!C:C)</f>
        <v>0</v>
      </c>
      <c r="F181" s="639">
        <f t="shared" si="2"/>
        <v>140.77000000000001</v>
      </c>
      <c r="G181" s="263" t="str">
        <f>VLOOKUP('Trial Balance'!$A181,'Code Allocation'!$A:$D,3,0)</f>
        <v>CRA</v>
      </c>
      <c r="H181" s="266" t="str">
        <f>VLOOKUP('Trial Balance'!$A181,'Code Allocation'!$A:$D,4,0)</f>
        <v>Parks, gardens &amp; open Spaces</v>
      </c>
      <c r="I181" s="267" t="str">
        <f>VLOOKUP('Trial Balance'!$A181,'Code Allocation'!$A:$E,5,0)</f>
        <v>Transport related expenses</v>
      </c>
      <c r="J181" s="268" t="str">
        <f>VLOOKUP('Trial Balance'!$A181,'Code Allocation'!$A:$F,6,0)</f>
        <v>Transport - Pick-up</v>
      </c>
      <c r="K181" s="263"/>
      <c r="L181" s="263"/>
      <c r="M181" s="263"/>
      <c r="N181" s="263"/>
      <c r="O181" s="263"/>
      <c r="P181" s="263"/>
      <c r="Q181" s="263"/>
      <c r="R181" s="263"/>
      <c r="S181" s="263"/>
      <c r="T181" s="263"/>
      <c r="U181" s="263"/>
      <c r="V181" s="263"/>
      <c r="W181" s="263"/>
      <c r="X181" s="263"/>
      <c r="Y181" s="263"/>
      <c r="Z181" s="263"/>
      <c r="AA181" s="263"/>
      <c r="AB181" s="263"/>
      <c r="AC181" s="263"/>
      <c r="AD181" s="263"/>
      <c r="AE181" s="263"/>
      <c r="AF181" s="263"/>
      <c r="AG181" s="263"/>
      <c r="AH181" s="263"/>
      <c r="AI181" s="263"/>
      <c r="AJ181" s="263"/>
      <c r="AK181" s="263"/>
      <c r="AL181" s="263"/>
      <c r="AM181" s="263"/>
      <c r="AN181" s="263"/>
      <c r="AO181" s="263"/>
      <c r="AP181" s="263"/>
      <c r="AQ181" s="263"/>
      <c r="AR181" s="263"/>
      <c r="AS181" s="263"/>
      <c r="AT181" s="263"/>
      <c r="AU181" s="263"/>
      <c r="AV181" s="263"/>
      <c r="AW181" s="263"/>
      <c r="AX181" s="263"/>
      <c r="AY181" s="263"/>
      <c r="AZ181" s="263"/>
      <c r="BA181" s="263"/>
      <c r="BB181" s="263"/>
      <c r="BC181" s="263"/>
      <c r="BD181" s="263"/>
      <c r="BE181" s="263"/>
      <c r="BF181" s="263"/>
      <c r="BG181" s="263"/>
      <c r="BH181" s="263"/>
      <c r="BI181" s="263"/>
      <c r="BJ181" s="263"/>
      <c r="BK181" s="263"/>
      <c r="BL181" s="263"/>
      <c r="BM181" s="263"/>
      <c r="BN181" s="263"/>
      <c r="BO181" s="263"/>
      <c r="BP181" s="263"/>
      <c r="BQ181" s="263"/>
      <c r="BR181" s="263"/>
      <c r="BS181" s="263"/>
      <c r="BT181" s="263"/>
      <c r="BU181" s="263"/>
      <c r="BV181" s="263"/>
      <c r="BW181" s="263"/>
      <c r="BX181" s="263"/>
      <c r="BY181" s="263"/>
      <c r="BZ181" s="263"/>
      <c r="CA181" s="263"/>
      <c r="CB181" s="263"/>
      <c r="CC181" s="263"/>
      <c r="CD181" s="263"/>
      <c r="CE181" s="263"/>
      <c r="CF181" s="263"/>
      <c r="CG181" s="263"/>
      <c r="CH181" s="263"/>
      <c r="CI181" s="263"/>
      <c r="CJ181" s="263"/>
      <c r="CK181" s="263"/>
      <c r="CL181" s="263"/>
      <c r="CM181" s="263"/>
      <c r="CN181" s="263"/>
      <c r="CO181" s="263"/>
      <c r="CP181" s="263"/>
      <c r="CQ181" s="263"/>
      <c r="CR181" s="263"/>
      <c r="CS181" s="263"/>
      <c r="CT181" s="263"/>
      <c r="CU181" s="263"/>
      <c r="CV181" s="263"/>
      <c r="CW181" s="263"/>
      <c r="CX181" s="263"/>
      <c r="CY181" s="263"/>
      <c r="CZ181" s="263"/>
      <c r="DA181" s="263"/>
      <c r="DB181" s="263"/>
      <c r="DC181" s="263"/>
      <c r="DD181" s="263"/>
      <c r="DE181" s="263"/>
      <c r="DF181" s="263"/>
      <c r="DG181" s="263"/>
      <c r="DH181" s="263"/>
      <c r="DI181" s="263"/>
      <c r="DJ181" s="263"/>
      <c r="DK181" s="263"/>
      <c r="DL181" s="263"/>
      <c r="DM181" s="263"/>
      <c r="DN181" s="263"/>
      <c r="DO181" s="263"/>
      <c r="DP181" s="263"/>
      <c r="DQ181" s="263"/>
      <c r="DR181" s="263"/>
      <c r="DS181" s="263"/>
      <c r="DT181" s="263"/>
      <c r="DU181" s="263"/>
      <c r="DV181" s="263"/>
      <c r="DW181" s="263"/>
      <c r="DX181" s="263"/>
      <c r="DY181" s="263"/>
      <c r="DZ181" s="263"/>
      <c r="EA181" s="263"/>
      <c r="EB181" s="263"/>
      <c r="EC181" s="263"/>
      <c r="ED181" s="263"/>
      <c r="EE181" s="263"/>
      <c r="EF181" s="263"/>
      <c r="EG181" s="263"/>
      <c r="EH181" s="263"/>
      <c r="EI181" s="263"/>
      <c r="EJ181" s="263"/>
      <c r="EK181" s="263"/>
      <c r="EL181" s="263"/>
      <c r="EM181" s="263"/>
      <c r="EN181" s="263"/>
      <c r="EO181" s="263"/>
      <c r="EP181" s="263"/>
      <c r="EQ181" s="263"/>
      <c r="ER181" s="263"/>
      <c r="ES181" s="263"/>
      <c r="ET181" s="263"/>
      <c r="EU181" s="263"/>
      <c r="EV181" s="263"/>
      <c r="EW181" s="263"/>
      <c r="EX181" s="263"/>
      <c r="EY181" s="263"/>
      <c r="EZ181" s="263"/>
      <c r="FA181" s="263"/>
      <c r="FB181" s="263"/>
      <c r="FC181" s="263"/>
      <c r="FD181" s="263"/>
      <c r="FE181" s="263"/>
      <c r="FF181" s="263"/>
      <c r="FG181" s="263"/>
      <c r="FH181" s="263"/>
      <c r="FI181" s="263"/>
      <c r="FJ181" s="263"/>
      <c r="FK181" s="263"/>
      <c r="FL181" s="263"/>
      <c r="FM181" s="263"/>
      <c r="FN181" s="263"/>
      <c r="FO181" s="263"/>
      <c r="FP181" s="263"/>
      <c r="FQ181" s="263"/>
      <c r="FR181" s="263"/>
      <c r="FS181" s="263"/>
      <c r="FT181" s="263"/>
      <c r="FU181" s="263"/>
      <c r="FV181" s="263"/>
      <c r="FW181" s="263"/>
      <c r="FX181" s="263"/>
      <c r="FY181" s="263"/>
      <c r="FZ181" s="263"/>
      <c r="GA181" s="263"/>
      <c r="GB181" s="263"/>
      <c r="GC181" s="263"/>
      <c r="GD181" s="263"/>
      <c r="GE181" s="263"/>
      <c r="GF181" s="263"/>
      <c r="GG181" s="263"/>
      <c r="GH181" s="263"/>
      <c r="GI181" s="263"/>
      <c r="GJ181" s="263"/>
      <c r="GK181" s="263"/>
      <c r="GL181" s="263"/>
      <c r="GM181" s="263"/>
      <c r="GN181" s="263"/>
      <c r="GO181" s="263"/>
      <c r="GP181" s="263"/>
      <c r="GQ181" s="263"/>
      <c r="GR181" s="263"/>
      <c r="GS181" s="263"/>
      <c r="GT181" s="263"/>
      <c r="GU181" s="263"/>
      <c r="GV181" s="263"/>
      <c r="GW181" s="263"/>
      <c r="GX181" s="263"/>
      <c r="GY181" s="263"/>
      <c r="GZ181" s="263"/>
      <c r="HA181" s="263"/>
      <c r="HB181" s="263"/>
      <c r="HC181" s="263"/>
      <c r="HD181" s="263"/>
      <c r="HE181" s="263"/>
      <c r="HF181" s="263"/>
      <c r="HG181" s="263"/>
      <c r="HH181" s="263"/>
      <c r="HI181" s="263"/>
      <c r="HJ181" s="263"/>
      <c r="HK181" s="263"/>
      <c r="HL181" s="263"/>
      <c r="HM181" s="263"/>
      <c r="HN181" s="263"/>
      <c r="HO181" s="263"/>
      <c r="HP181" s="263"/>
      <c r="HQ181" s="263"/>
      <c r="HR181" s="263"/>
      <c r="HS181" s="263"/>
      <c r="HT181" s="263"/>
      <c r="HU181" s="263"/>
      <c r="HV181" s="263"/>
      <c r="HW181" s="263"/>
      <c r="HX181" s="263"/>
      <c r="HY181" s="263"/>
      <c r="HZ181" s="263"/>
      <c r="IA181" s="263"/>
      <c r="IB181" s="263"/>
      <c r="IC181" s="263"/>
      <c r="ID181" s="263"/>
      <c r="IE181" s="263"/>
      <c r="IF181" s="263"/>
      <c r="IG181" s="263"/>
      <c r="IH181" s="263"/>
      <c r="II181" s="263"/>
      <c r="IJ181" s="263"/>
      <c r="IK181" s="263"/>
      <c r="IL181" s="263"/>
      <c r="IM181" s="263"/>
      <c r="IN181" s="263"/>
      <c r="IO181" s="263"/>
      <c r="IP181" s="263"/>
      <c r="IQ181" s="263"/>
      <c r="IR181" s="263"/>
      <c r="IS181" s="263"/>
      <c r="IT181" s="263"/>
      <c r="IU181" s="263"/>
      <c r="IV181" s="263"/>
    </row>
    <row r="182" spans="1:256" ht="15" customHeight="1" x14ac:dyDescent="0.3">
      <c r="A182" s="638">
        <v>37310399</v>
      </c>
      <c r="B182" s="638" t="s">
        <v>382</v>
      </c>
      <c r="C182" s="638">
        <v>126</v>
      </c>
      <c r="D182" s="311"/>
      <c r="E182" s="305">
        <f>SUMIF(Adjustments!A:A,A182,Adjustments!C:C)</f>
        <v>0</v>
      </c>
      <c r="F182" s="642">
        <f t="shared" si="2"/>
        <v>126</v>
      </c>
      <c r="G182" s="263" t="str">
        <f>VLOOKUP('Trial Balance'!$A182,'Code Allocation'!$A:$D,3,0)</f>
        <v>CRA</v>
      </c>
      <c r="H182" s="266" t="str">
        <f>VLOOKUP('Trial Balance'!$A182,'Code Allocation'!$A:$D,4,0)</f>
        <v>Parks, gardens &amp; open Spaces</v>
      </c>
      <c r="I182" s="267" t="str">
        <f>VLOOKUP('Trial Balance'!$A182,'Code Allocation'!$A:$E,5,0)</f>
        <v>Transport related expenses</v>
      </c>
      <c r="J182" s="268" t="str">
        <f>VLOOKUP('Trial Balance'!$A182,'Code Allocation'!$A:$F,6,0)</f>
        <v>Transport - Pick-up</v>
      </c>
    </row>
    <row r="183" spans="1:256" s="279" customFormat="1" ht="15" customHeight="1" x14ac:dyDescent="0.3">
      <c r="A183" s="638">
        <v>37320199</v>
      </c>
      <c r="B183" s="638" t="s">
        <v>427</v>
      </c>
      <c r="C183" s="638">
        <v>537.88</v>
      </c>
      <c r="D183" s="311"/>
      <c r="E183" s="305">
        <f>SUMIF(Adjustments!A:A,A183,Adjustments!C:C)</f>
        <v>0</v>
      </c>
      <c r="F183" s="642">
        <f t="shared" si="2"/>
        <v>537.88</v>
      </c>
      <c r="G183" s="263" t="str">
        <f>VLOOKUP('Trial Balance'!$A183,'Code Allocation'!$A:$D,3,0)</f>
        <v>CRA</v>
      </c>
      <c r="H183" s="266" t="str">
        <f>VLOOKUP('Trial Balance'!$A183,'Code Allocation'!$A:$D,4,0)</f>
        <v>Parks, gardens &amp; open Spaces</v>
      </c>
      <c r="I183" s="267" t="str">
        <f>VLOOKUP('Trial Balance'!$A183,'Code Allocation'!$A:$E,5,0)</f>
        <v>Transport related expenses</v>
      </c>
      <c r="J183" s="268" t="str">
        <f>VLOOKUP('Trial Balance'!$A183,'Code Allocation'!$A:$F,6,0)</f>
        <v>Transport - Tractor</v>
      </c>
      <c r="K183" s="263"/>
      <c r="L183" s="263"/>
      <c r="M183" s="263"/>
      <c r="N183" s="263"/>
      <c r="O183" s="263"/>
      <c r="P183" s="263"/>
      <c r="Q183" s="263"/>
      <c r="R183" s="263"/>
      <c r="S183" s="263"/>
      <c r="T183" s="263"/>
      <c r="U183" s="263"/>
      <c r="V183" s="263"/>
      <c r="W183" s="263"/>
      <c r="X183" s="263"/>
      <c r="Y183" s="263"/>
      <c r="Z183" s="263"/>
      <c r="AA183" s="263"/>
      <c r="AB183" s="263"/>
      <c r="AC183" s="263"/>
      <c r="AD183" s="263"/>
      <c r="AE183" s="263"/>
      <c r="AF183" s="263"/>
      <c r="AG183" s="263"/>
      <c r="AH183" s="263"/>
      <c r="AI183" s="263"/>
      <c r="AJ183" s="263"/>
      <c r="AK183" s="263"/>
      <c r="AL183" s="263"/>
      <c r="AM183" s="263"/>
      <c r="AN183" s="263"/>
      <c r="AO183" s="263"/>
      <c r="AP183" s="263"/>
      <c r="AQ183" s="263"/>
      <c r="AR183" s="263"/>
      <c r="AS183" s="263"/>
      <c r="AT183" s="263"/>
      <c r="AU183" s="263"/>
      <c r="AV183" s="263"/>
      <c r="AW183" s="263"/>
      <c r="AX183" s="263"/>
      <c r="AY183" s="263"/>
      <c r="AZ183" s="263"/>
      <c r="BA183" s="263"/>
      <c r="BB183" s="263"/>
      <c r="BC183" s="263"/>
      <c r="BD183" s="263"/>
      <c r="BE183" s="263"/>
      <c r="BF183" s="263"/>
      <c r="BG183" s="263"/>
      <c r="BH183" s="263"/>
      <c r="BI183" s="263"/>
      <c r="BJ183" s="263"/>
      <c r="BK183" s="263"/>
      <c r="BL183" s="263"/>
      <c r="BM183" s="263"/>
      <c r="BN183" s="263"/>
      <c r="BO183" s="263"/>
      <c r="BP183" s="263"/>
      <c r="BQ183" s="263"/>
      <c r="BR183" s="263"/>
      <c r="BS183" s="263"/>
      <c r="BT183" s="263"/>
      <c r="BU183" s="263"/>
      <c r="BV183" s="263"/>
      <c r="BW183" s="263"/>
      <c r="BX183" s="263"/>
      <c r="BY183" s="263"/>
      <c r="BZ183" s="263"/>
      <c r="CA183" s="263"/>
      <c r="CB183" s="263"/>
      <c r="CC183" s="263"/>
      <c r="CD183" s="263"/>
      <c r="CE183" s="263"/>
      <c r="CF183" s="263"/>
      <c r="CG183" s="263"/>
      <c r="CH183" s="263"/>
      <c r="CI183" s="263"/>
      <c r="CJ183" s="263"/>
      <c r="CK183" s="263"/>
      <c r="CL183" s="263"/>
      <c r="CM183" s="263"/>
      <c r="CN183" s="263"/>
      <c r="CO183" s="263"/>
      <c r="CP183" s="263"/>
      <c r="CQ183" s="263"/>
      <c r="CR183" s="263"/>
      <c r="CS183" s="263"/>
      <c r="CT183" s="263"/>
      <c r="CU183" s="263"/>
      <c r="CV183" s="263"/>
      <c r="CW183" s="263"/>
      <c r="CX183" s="263"/>
      <c r="CY183" s="263"/>
      <c r="CZ183" s="263"/>
      <c r="DA183" s="263"/>
      <c r="DB183" s="263"/>
      <c r="DC183" s="263"/>
      <c r="DD183" s="263"/>
      <c r="DE183" s="263"/>
      <c r="DF183" s="263"/>
      <c r="DG183" s="263"/>
      <c r="DH183" s="263"/>
      <c r="DI183" s="263"/>
      <c r="DJ183" s="263"/>
      <c r="DK183" s="263"/>
      <c r="DL183" s="263"/>
      <c r="DM183" s="263"/>
      <c r="DN183" s="263"/>
      <c r="DO183" s="263"/>
      <c r="DP183" s="263"/>
      <c r="DQ183" s="263"/>
      <c r="DR183" s="263"/>
      <c r="DS183" s="263"/>
      <c r="DT183" s="263"/>
      <c r="DU183" s="263"/>
      <c r="DV183" s="263"/>
      <c r="DW183" s="263"/>
      <c r="DX183" s="263"/>
      <c r="DY183" s="263"/>
      <c r="DZ183" s="263"/>
      <c r="EA183" s="263"/>
      <c r="EB183" s="263"/>
      <c r="EC183" s="263"/>
      <c r="ED183" s="263"/>
      <c r="EE183" s="263"/>
      <c r="EF183" s="263"/>
      <c r="EG183" s="263"/>
      <c r="EH183" s="263"/>
      <c r="EI183" s="263"/>
      <c r="EJ183" s="263"/>
      <c r="EK183" s="263"/>
      <c r="EL183" s="263"/>
      <c r="EM183" s="263"/>
      <c r="EN183" s="263"/>
      <c r="EO183" s="263"/>
      <c r="EP183" s="263"/>
      <c r="EQ183" s="263"/>
      <c r="ER183" s="263"/>
      <c r="ES183" s="263"/>
      <c r="ET183" s="263"/>
      <c r="EU183" s="263"/>
      <c r="EV183" s="263"/>
      <c r="EW183" s="263"/>
      <c r="EX183" s="263"/>
      <c r="EY183" s="263"/>
      <c r="EZ183" s="263"/>
      <c r="FA183" s="263"/>
      <c r="FB183" s="263"/>
      <c r="FC183" s="263"/>
      <c r="FD183" s="263"/>
      <c r="FE183" s="263"/>
      <c r="FF183" s="263"/>
      <c r="FG183" s="263"/>
      <c r="FH183" s="263"/>
      <c r="FI183" s="263"/>
      <c r="FJ183" s="263"/>
      <c r="FK183" s="263"/>
      <c r="FL183" s="263"/>
      <c r="FM183" s="263"/>
      <c r="FN183" s="263"/>
      <c r="FO183" s="263"/>
      <c r="FP183" s="263"/>
      <c r="FQ183" s="263"/>
      <c r="FR183" s="263"/>
      <c r="FS183" s="263"/>
      <c r="FT183" s="263"/>
      <c r="FU183" s="263"/>
      <c r="FV183" s="263"/>
      <c r="FW183" s="263"/>
      <c r="FX183" s="263"/>
      <c r="FY183" s="263"/>
      <c r="FZ183" s="263"/>
      <c r="GA183" s="263"/>
      <c r="GB183" s="263"/>
      <c r="GC183" s="263"/>
      <c r="GD183" s="263"/>
      <c r="GE183" s="263"/>
      <c r="GF183" s="263"/>
      <c r="GG183" s="263"/>
      <c r="GH183" s="263"/>
      <c r="GI183" s="263"/>
      <c r="GJ183" s="263"/>
      <c r="GK183" s="263"/>
      <c r="GL183" s="263"/>
      <c r="GM183" s="263"/>
      <c r="GN183" s="263"/>
      <c r="GO183" s="263"/>
      <c r="GP183" s="263"/>
      <c r="GQ183" s="263"/>
      <c r="GR183" s="263"/>
      <c r="GS183" s="263"/>
      <c r="GT183" s="263"/>
      <c r="GU183" s="263"/>
      <c r="GV183" s="263"/>
      <c r="GW183" s="263"/>
      <c r="GX183" s="263"/>
      <c r="GY183" s="263"/>
      <c r="GZ183" s="263"/>
      <c r="HA183" s="263"/>
      <c r="HB183" s="263"/>
      <c r="HC183" s="263"/>
      <c r="HD183" s="263"/>
      <c r="HE183" s="263"/>
      <c r="HF183" s="263"/>
      <c r="HG183" s="263"/>
      <c r="HH183" s="263"/>
      <c r="HI183" s="263"/>
      <c r="HJ183" s="263"/>
      <c r="HK183" s="263"/>
      <c r="HL183" s="263"/>
      <c r="HM183" s="263"/>
      <c r="HN183" s="263"/>
      <c r="HO183" s="263"/>
      <c r="HP183" s="263"/>
      <c r="HQ183" s="263"/>
      <c r="HR183" s="263"/>
      <c r="HS183" s="263"/>
      <c r="HT183" s="263"/>
      <c r="HU183" s="263"/>
      <c r="HV183" s="263"/>
      <c r="HW183" s="263"/>
      <c r="HX183" s="263"/>
      <c r="HY183" s="263"/>
      <c r="HZ183" s="263"/>
      <c r="IA183" s="263"/>
      <c r="IB183" s="263"/>
      <c r="IC183" s="263"/>
      <c r="ID183" s="263"/>
      <c r="IE183" s="263"/>
      <c r="IF183" s="263"/>
      <c r="IG183" s="263"/>
      <c r="IH183" s="263"/>
      <c r="II183" s="263"/>
      <c r="IJ183" s="263"/>
      <c r="IK183" s="263"/>
      <c r="IL183" s="263"/>
      <c r="IM183" s="263"/>
      <c r="IN183" s="263"/>
      <c r="IO183" s="263"/>
      <c r="IP183" s="263"/>
      <c r="IQ183" s="263"/>
      <c r="IR183" s="263"/>
      <c r="IS183" s="263"/>
      <c r="IT183" s="263"/>
      <c r="IU183" s="263"/>
      <c r="IV183" s="263"/>
    </row>
    <row r="184" spans="1:256" s="281" customFormat="1" ht="15" customHeight="1" x14ac:dyDescent="0.3">
      <c r="A184" s="638">
        <v>37320299</v>
      </c>
      <c r="B184" s="638" t="s">
        <v>428</v>
      </c>
      <c r="C184" s="638">
        <v>348.92</v>
      </c>
      <c r="D184" s="311"/>
      <c r="E184" s="305">
        <f>SUMIF(Adjustments!A:A,A184,Adjustments!C:C)</f>
        <v>0</v>
      </c>
      <c r="F184" s="642">
        <f t="shared" si="2"/>
        <v>348.92</v>
      </c>
      <c r="G184" s="263" t="str">
        <f>VLOOKUP('Trial Balance'!$A184,'Code Allocation'!$A:$D,3,0)</f>
        <v>CRA</v>
      </c>
      <c r="H184" s="266" t="str">
        <f>VLOOKUP('Trial Balance'!$A184,'Code Allocation'!$A:$D,4,0)</f>
        <v>Parks, gardens &amp; open Spaces</v>
      </c>
      <c r="I184" s="267" t="str">
        <f>VLOOKUP('Trial Balance'!$A184,'Code Allocation'!$A:$E,5,0)</f>
        <v>Transport related expenses</v>
      </c>
      <c r="J184" s="268" t="str">
        <f>VLOOKUP('Trial Balance'!$A184,'Code Allocation'!$A:$F,6,0)</f>
        <v>Transport - Tractor</v>
      </c>
      <c r="K184" s="263"/>
      <c r="L184" s="263"/>
      <c r="M184" s="263"/>
      <c r="N184" s="263"/>
      <c r="O184" s="263"/>
      <c r="P184" s="263"/>
      <c r="Q184" s="263"/>
      <c r="R184" s="263"/>
      <c r="S184" s="263"/>
      <c r="T184" s="263"/>
      <c r="U184" s="263"/>
      <c r="V184" s="263"/>
      <c r="W184" s="263"/>
      <c r="X184" s="263"/>
      <c r="Y184" s="263"/>
      <c r="Z184" s="263"/>
      <c r="AA184" s="263"/>
      <c r="AB184" s="263"/>
      <c r="AC184" s="263"/>
      <c r="AD184" s="263"/>
      <c r="AE184" s="263"/>
      <c r="AF184" s="263"/>
      <c r="AG184" s="263"/>
      <c r="AH184" s="263"/>
      <c r="AI184" s="263"/>
      <c r="AJ184" s="263"/>
      <c r="AK184" s="263"/>
      <c r="AL184" s="263"/>
      <c r="AM184" s="263"/>
      <c r="AN184" s="263"/>
      <c r="AO184" s="263"/>
      <c r="AP184" s="263"/>
      <c r="AQ184" s="263"/>
      <c r="AR184" s="263"/>
      <c r="AS184" s="263"/>
      <c r="AT184" s="263"/>
      <c r="AU184" s="263"/>
      <c r="AV184" s="263"/>
      <c r="AW184" s="263"/>
      <c r="AX184" s="263"/>
      <c r="AY184" s="263"/>
      <c r="AZ184" s="263"/>
      <c r="BA184" s="263"/>
      <c r="BB184" s="263"/>
      <c r="BC184" s="263"/>
      <c r="BD184" s="263"/>
      <c r="BE184" s="263"/>
      <c r="BF184" s="263"/>
      <c r="BG184" s="263"/>
      <c r="BH184" s="263"/>
      <c r="BI184" s="263"/>
      <c r="BJ184" s="263"/>
      <c r="BK184" s="263"/>
      <c r="BL184" s="263"/>
      <c r="BM184" s="263"/>
      <c r="BN184" s="263"/>
      <c r="BO184" s="263"/>
      <c r="BP184" s="263"/>
      <c r="BQ184" s="263"/>
      <c r="BR184" s="263"/>
      <c r="BS184" s="263"/>
      <c r="BT184" s="263"/>
      <c r="BU184" s="263"/>
      <c r="BV184" s="263"/>
      <c r="BW184" s="263"/>
      <c r="BX184" s="263"/>
      <c r="BY184" s="263"/>
      <c r="BZ184" s="263"/>
      <c r="CA184" s="263"/>
      <c r="CB184" s="263"/>
      <c r="CC184" s="263"/>
      <c r="CD184" s="263"/>
      <c r="CE184" s="263"/>
      <c r="CF184" s="263"/>
      <c r="CG184" s="263"/>
      <c r="CH184" s="263"/>
      <c r="CI184" s="263"/>
      <c r="CJ184" s="263"/>
      <c r="CK184" s="263"/>
      <c r="CL184" s="263"/>
      <c r="CM184" s="263"/>
      <c r="CN184" s="263"/>
      <c r="CO184" s="263"/>
      <c r="CP184" s="263"/>
      <c r="CQ184" s="263"/>
      <c r="CR184" s="263"/>
      <c r="CS184" s="263"/>
      <c r="CT184" s="263"/>
      <c r="CU184" s="263"/>
      <c r="CV184" s="263"/>
      <c r="CW184" s="263"/>
      <c r="CX184" s="263"/>
      <c r="CY184" s="263"/>
      <c r="CZ184" s="263"/>
      <c r="DA184" s="263"/>
      <c r="DB184" s="263"/>
      <c r="DC184" s="263"/>
      <c r="DD184" s="263"/>
      <c r="DE184" s="263"/>
      <c r="DF184" s="263"/>
      <c r="DG184" s="263"/>
      <c r="DH184" s="263"/>
      <c r="DI184" s="263"/>
      <c r="DJ184" s="263"/>
      <c r="DK184" s="263"/>
      <c r="DL184" s="263"/>
      <c r="DM184" s="263"/>
      <c r="DN184" s="263"/>
      <c r="DO184" s="263"/>
      <c r="DP184" s="263"/>
      <c r="DQ184" s="263"/>
      <c r="DR184" s="263"/>
      <c r="DS184" s="263"/>
      <c r="DT184" s="263"/>
      <c r="DU184" s="263"/>
      <c r="DV184" s="263"/>
      <c r="DW184" s="263"/>
      <c r="DX184" s="263"/>
      <c r="DY184" s="263"/>
      <c r="DZ184" s="263"/>
      <c r="EA184" s="263"/>
      <c r="EB184" s="263"/>
      <c r="EC184" s="263"/>
      <c r="ED184" s="263"/>
      <c r="EE184" s="263"/>
      <c r="EF184" s="263"/>
      <c r="EG184" s="263"/>
      <c r="EH184" s="263"/>
      <c r="EI184" s="263"/>
      <c r="EJ184" s="263"/>
      <c r="EK184" s="263"/>
      <c r="EL184" s="263"/>
      <c r="EM184" s="263"/>
      <c r="EN184" s="263"/>
      <c r="EO184" s="263"/>
      <c r="EP184" s="263"/>
      <c r="EQ184" s="263"/>
      <c r="ER184" s="263"/>
      <c r="ES184" s="263"/>
      <c r="ET184" s="263"/>
      <c r="EU184" s="263"/>
      <c r="EV184" s="263"/>
      <c r="EW184" s="263"/>
      <c r="EX184" s="263"/>
      <c r="EY184" s="263"/>
      <c r="EZ184" s="263"/>
      <c r="FA184" s="263"/>
      <c r="FB184" s="263"/>
      <c r="FC184" s="263"/>
      <c r="FD184" s="263"/>
      <c r="FE184" s="263"/>
      <c r="FF184" s="263"/>
      <c r="FG184" s="263"/>
      <c r="FH184" s="263"/>
      <c r="FI184" s="263"/>
      <c r="FJ184" s="263"/>
      <c r="FK184" s="263"/>
      <c r="FL184" s="263"/>
      <c r="FM184" s="263"/>
      <c r="FN184" s="263"/>
      <c r="FO184" s="263"/>
      <c r="FP184" s="263"/>
      <c r="FQ184" s="263"/>
      <c r="FR184" s="263"/>
      <c r="FS184" s="263"/>
      <c r="FT184" s="263"/>
      <c r="FU184" s="263"/>
      <c r="FV184" s="263"/>
      <c r="FW184" s="263"/>
      <c r="FX184" s="263"/>
      <c r="FY184" s="263"/>
      <c r="FZ184" s="263"/>
      <c r="GA184" s="263"/>
      <c r="GB184" s="263"/>
      <c r="GC184" s="263"/>
      <c r="GD184" s="263"/>
      <c r="GE184" s="263"/>
      <c r="GF184" s="263"/>
      <c r="GG184" s="263"/>
      <c r="GH184" s="263"/>
      <c r="GI184" s="263"/>
      <c r="GJ184" s="263"/>
      <c r="GK184" s="263"/>
      <c r="GL184" s="263"/>
      <c r="GM184" s="263"/>
      <c r="GN184" s="263"/>
      <c r="GO184" s="263"/>
      <c r="GP184" s="263"/>
      <c r="GQ184" s="263"/>
      <c r="GR184" s="263"/>
      <c r="GS184" s="263"/>
      <c r="GT184" s="263"/>
      <c r="GU184" s="263"/>
      <c r="GV184" s="263"/>
      <c r="GW184" s="263"/>
      <c r="GX184" s="263"/>
      <c r="GY184" s="263"/>
      <c r="GZ184" s="263"/>
      <c r="HA184" s="263"/>
      <c r="HB184" s="263"/>
      <c r="HC184" s="263"/>
      <c r="HD184" s="263"/>
      <c r="HE184" s="263"/>
      <c r="HF184" s="263"/>
      <c r="HG184" s="263"/>
      <c r="HH184" s="263"/>
      <c r="HI184" s="263"/>
      <c r="HJ184" s="263"/>
      <c r="HK184" s="263"/>
      <c r="HL184" s="263"/>
      <c r="HM184" s="263"/>
      <c r="HN184" s="263"/>
      <c r="HO184" s="263"/>
      <c r="HP184" s="263"/>
      <c r="HQ184" s="263"/>
      <c r="HR184" s="263"/>
      <c r="HS184" s="263"/>
      <c r="HT184" s="263"/>
      <c r="HU184" s="263"/>
      <c r="HV184" s="263"/>
      <c r="HW184" s="263"/>
      <c r="HX184" s="263"/>
      <c r="HY184" s="263"/>
      <c r="HZ184" s="263"/>
      <c r="IA184" s="263"/>
      <c r="IB184" s="263"/>
      <c r="IC184" s="263"/>
      <c r="ID184" s="263"/>
      <c r="IE184" s="263"/>
      <c r="IF184" s="263"/>
      <c r="IG184" s="263"/>
      <c r="IH184" s="263"/>
      <c r="II184" s="263"/>
      <c r="IJ184" s="263"/>
      <c r="IK184" s="263"/>
      <c r="IL184" s="263"/>
      <c r="IM184" s="263"/>
      <c r="IN184" s="263"/>
      <c r="IO184" s="263"/>
      <c r="IP184" s="263"/>
      <c r="IQ184" s="263"/>
      <c r="IR184" s="263"/>
      <c r="IS184" s="263"/>
      <c r="IT184" s="263"/>
      <c r="IU184" s="263"/>
      <c r="IV184" s="263"/>
    </row>
    <row r="185" spans="1:256" ht="15" customHeight="1" x14ac:dyDescent="0.3">
      <c r="A185" s="638">
        <v>37330199</v>
      </c>
      <c r="B185" s="638" t="s">
        <v>526</v>
      </c>
      <c r="C185" s="638">
        <v>384.08</v>
      </c>
      <c r="D185" s="311"/>
      <c r="E185" s="305">
        <f>SUMIF(Adjustments!A:A,A185,Adjustments!C:C)</f>
        <v>0</v>
      </c>
      <c r="F185" s="642">
        <f t="shared" si="2"/>
        <v>384.08</v>
      </c>
      <c r="G185" s="263" t="str">
        <f>VLOOKUP('Trial Balance'!$A185,'Code Allocation'!$A:$D,3,0)</f>
        <v>CRA</v>
      </c>
      <c r="H185" s="266" t="str">
        <f>VLOOKUP('Trial Balance'!$A185,'Code Allocation'!$A:$D,4,0)</f>
        <v>Parks, gardens &amp; open Spaces</v>
      </c>
      <c r="I185" s="267" t="str">
        <f>VLOOKUP('Trial Balance'!$A185,'Code Allocation'!$A:$E,5,0)</f>
        <v>Transport related expenses</v>
      </c>
      <c r="J185" s="268" t="str">
        <f>VLOOKUP('Trial Balance'!$A185,'Code Allocation'!$A:$F,6,0)</f>
        <v>Transport - Tractor</v>
      </c>
    </row>
    <row r="186" spans="1:256" ht="15" customHeight="1" x14ac:dyDescent="0.3">
      <c r="A186" s="638">
        <v>37330299</v>
      </c>
      <c r="B186" s="638" t="s">
        <v>527</v>
      </c>
      <c r="C186" s="640">
        <v>1723.24</v>
      </c>
      <c r="D186" s="311"/>
      <c r="E186" s="305">
        <f>SUMIF(Adjustments!A:A,A186,Adjustments!C:C)</f>
        <v>0</v>
      </c>
      <c r="F186" s="642">
        <f t="shared" si="2"/>
        <v>1723.24</v>
      </c>
      <c r="G186" s="263" t="str">
        <f>VLOOKUP('Trial Balance'!$A186,'Code Allocation'!$A:$D,3,0)</f>
        <v>CRA</v>
      </c>
      <c r="H186" s="266" t="str">
        <f>VLOOKUP('Trial Balance'!$A186,'Code Allocation'!$A:$D,4,0)</f>
        <v>Parks, gardens &amp; open Spaces</v>
      </c>
      <c r="I186" s="267" t="str">
        <f>VLOOKUP('Trial Balance'!$A186,'Code Allocation'!$A:$E,5,0)</f>
        <v>Transport related expenses</v>
      </c>
      <c r="J186" s="268" t="str">
        <f>VLOOKUP('Trial Balance'!$A186,'Code Allocation'!$A:$F,6,0)</f>
        <v>Transport - Tractor</v>
      </c>
    </row>
    <row r="187" spans="1:256" ht="15" customHeight="1" x14ac:dyDescent="0.3">
      <c r="A187" s="638">
        <v>37350199</v>
      </c>
      <c r="B187" s="638" t="s">
        <v>528</v>
      </c>
      <c r="C187" s="640">
        <v>1231.43</v>
      </c>
      <c r="D187" s="311"/>
      <c r="E187" s="305">
        <f>SUMIF(Adjustments!A:A,A187,Adjustments!C:C)</f>
        <v>0</v>
      </c>
      <c r="F187" s="642">
        <f t="shared" si="2"/>
        <v>1231.43</v>
      </c>
      <c r="G187" s="263" t="str">
        <f>VLOOKUP('Trial Balance'!$A187,'Code Allocation'!$A:$D,3,0)</f>
        <v>CRA</v>
      </c>
      <c r="H187" s="266" t="str">
        <f>VLOOKUP('Trial Balance'!$A187,'Code Allocation'!$A:$D,4,0)</f>
        <v>Parks, gardens &amp; open Spaces</v>
      </c>
      <c r="I187" s="267" t="str">
        <f>VLOOKUP('Trial Balance'!$A187,'Code Allocation'!$A:$E,5,0)</f>
        <v>Transport related expenses</v>
      </c>
      <c r="J187" s="268" t="str">
        <f>VLOOKUP('Trial Balance'!$A187,'Code Allocation'!$A:$F,6,0)</f>
        <v>Mowers - Fuel &amp; Repairs</v>
      </c>
    </row>
    <row r="188" spans="1:256" ht="15" customHeight="1" x14ac:dyDescent="0.3">
      <c r="A188" s="638">
        <v>37350299</v>
      </c>
      <c r="B188" s="638" t="s">
        <v>529</v>
      </c>
      <c r="C188" s="640">
        <v>1765.35</v>
      </c>
      <c r="D188" s="311"/>
      <c r="E188" s="305">
        <f>SUMIF(Adjustments!A:A,A188,Adjustments!C:C)</f>
        <v>0</v>
      </c>
      <c r="F188" s="642">
        <f t="shared" si="2"/>
        <v>1765.35</v>
      </c>
      <c r="G188" s="263" t="str">
        <f>VLOOKUP('Trial Balance'!$A188,'Code Allocation'!$A:$D,3,0)</f>
        <v>CRA</v>
      </c>
      <c r="H188" s="266" t="str">
        <f>VLOOKUP('Trial Balance'!$A188,'Code Allocation'!$A:$D,4,0)</f>
        <v>Parks, gardens &amp; open Spaces</v>
      </c>
      <c r="I188" s="267" t="str">
        <f>VLOOKUP('Trial Balance'!$A188,'Code Allocation'!$A:$E,5,0)</f>
        <v>Transport related expenses</v>
      </c>
      <c r="J188" s="268" t="str">
        <f>VLOOKUP('Trial Balance'!$A188,'Code Allocation'!$A:$F,6,0)</f>
        <v>Mowers - Fuel &amp; Repairs</v>
      </c>
    </row>
    <row r="189" spans="1:256" ht="15" customHeight="1" x14ac:dyDescent="0.3">
      <c r="A189" s="638">
        <v>37350399</v>
      </c>
      <c r="B189" s="638" t="s">
        <v>530</v>
      </c>
      <c r="C189" s="640">
        <v>4151.38</v>
      </c>
      <c r="D189" s="311"/>
      <c r="E189" s="305">
        <f>SUMIF(Adjustments!A:A,A189,Adjustments!C:C)</f>
        <v>0</v>
      </c>
      <c r="F189" s="642">
        <f t="shared" si="2"/>
        <v>4151.38</v>
      </c>
      <c r="G189" s="263" t="str">
        <f>VLOOKUP('Trial Balance'!$A189,'Code Allocation'!$A:$D,3,0)</f>
        <v>CRA</v>
      </c>
      <c r="H189" s="266" t="str">
        <f>VLOOKUP('Trial Balance'!$A189,'Code Allocation'!$A:$D,4,0)</f>
        <v>Parks, gardens &amp; open Spaces</v>
      </c>
      <c r="I189" s="267" t="str">
        <f>VLOOKUP('Trial Balance'!$A189,'Code Allocation'!$A:$E,5,0)</f>
        <v>Supplies and Services</v>
      </c>
      <c r="J189" s="268" t="str">
        <f>VLOOKUP('Trial Balance'!$A189,'Code Allocation'!$A:$F,6,0)</f>
        <v>Equipment Service</v>
      </c>
    </row>
    <row r="190" spans="1:256" ht="15" customHeight="1" x14ac:dyDescent="0.3">
      <c r="A190" s="638">
        <v>37360199</v>
      </c>
      <c r="B190" s="638" t="s">
        <v>531</v>
      </c>
      <c r="C190" s="638">
        <v>183.82</v>
      </c>
      <c r="D190" s="311"/>
      <c r="E190" s="305">
        <f>SUMIF(Adjustments!A:A,A190,Adjustments!C:C)</f>
        <v>0</v>
      </c>
      <c r="F190" s="642">
        <f t="shared" si="2"/>
        <v>183.82</v>
      </c>
      <c r="G190" s="263" t="str">
        <f>VLOOKUP('Trial Balance'!$A190,'Code Allocation'!$A:$D,3,0)</f>
        <v>CRA</v>
      </c>
      <c r="H190" s="266" t="str">
        <f>VLOOKUP('Trial Balance'!$A190,'Code Allocation'!$A:$D,4,0)</f>
        <v>Parks, gardens &amp; open Spaces</v>
      </c>
      <c r="I190" s="267" t="str">
        <f>VLOOKUP('Trial Balance'!$A190,'Code Allocation'!$A:$E,5,0)</f>
        <v>Transport related expenses</v>
      </c>
      <c r="J190" s="268" t="str">
        <f>VLOOKUP('Trial Balance'!$A190,'Code Allocation'!$A:$F,6,0)</f>
        <v>Transport - Pick-up</v>
      </c>
    </row>
    <row r="191" spans="1:256" ht="15" customHeight="1" x14ac:dyDescent="0.3">
      <c r="A191" s="638">
        <v>37360399</v>
      </c>
      <c r="B191" s="638" t="s">
        <v>387</v>
      </c>
      <c r="C191" s="638">
        <v>120</v>
      </c>
      <c r="D191" s="311"/>
      <c r="E191" s="305">
        <f>SUMIF(Adjustments!A:A,A191,Adjustments!C:C)</f>
        <v>0</v>
      </c>
      <c r="F191" s="642">
        <f t="shared" si="2"/>
        <v>120</v>
      </c>
      <c r="G191" s="263" t="str">
        <f>VLOOKUP('Trial Balance'!$A191,'Code Allocation'!$A:$D,3,0)</f>
        <v>CRA</v>
      </c>
      <c r="H191" s="266" t="str">
        <f>VLOOKUP('Trial Balance'!$A191,'Code Allocation'!$A:$D,4,0)</f>
        <v>Parks, gardens &amp; open Spaces</v>
      </c>
      <c r="I191" s="267" t="str">
        <f>VLOOKUP('Trial Balance'!$A191,'Code Allocation'!$A:$E,5,0)</f>
        <v>Transport related expenses</v>
      </c>
      <c r="J191" s="268" t="str">
        <f>VLOOKUP('Trial Balance'!$A191,'Code Allocation'!$A:$F,6,0)</f>
        <v>Transport - Pick-up</v>
      </c>
    </row>
    <row r="192" spans="1:256" ht="15" customHeight="1" x14ac:dyDescent="0.3">
      <c r="A192" s="638">
        <v>37370199</v>
      </c>
      <c r="B192" s="638" t="s">
        <v>388</v>
      </c>
      <c r="C192" s="638">
        <v>566.70000000000005</v>
      </c>
      <c r="D192" s="311"/>
      <c r="E192" s="305">
        <f>SUMIF(Adjustments!A:A,A192,Adjustments!C:C)</f>
        <v>0</v>
      </c>
      <c r="F192" s="642">
        <f t="shared" si="2"/>
        <v>566.70000000000005</v>
      </c>
      <c r="G192" s="263" t="str">
        <f>VLOOKUP('Trial Balance'!$A192,'Code Allocation'!$A:$D,3,0)</f>
        <v>CRA</v>
      </c>
      <c r="H192" s="266" t="str">
        <f>VLOOKUP('Trial Balance'!$A192,'Code Allocation'!$A:$D,4,0)</f>
        <v>Parks, gardens &amp; open Spaces</v>
      </c>
      <c r="I192" s="267" t="str">
        <f>VLOOKUP('Trial Balance'!$A192,'Code Allocation'!$A:$E,5,0)</f>
        <v>Transport related expenses</v>
      </c>
      <c r="J192" s="268" t="str">
        <f>VLOOKUP('Trial Balance'!$A192,'Code Allocation'!$A:$F,6,0)</f>
        <v>Transport - Pick-up</v>
      </c>
    </row>
    <row r="193" spans="1:256" ht="15" customHeight="1" x14ac:dyDescent="0.3">
      <c r="A193" s="638">
        <v>37370299</v>
      </c>
      <c r="B193" s="638" t="s">
        <v>532</v>
      </c>
      <c r="C193" s="638">
        <v>88.91</v>
      </c>
      <c r="D193" s="311"/>
      <c r="E193" s="305">
        <f>SUMIF(Adjustments!A:A,A193,Adjustments!C:C)</f>
        <v>0</v>
      </c>
      <c r="F193" s="639">
        <f t="shared" si="2"/>
        <v>88.91</v>
      </c>
      <c r="G193" s="263" t="str">
        <f>VLOOKUP('Trial Balance'!$A193,'Code Allocation'!$A:$D,3,0)</f>
        <v>CRA</v>
      </c>
      <c r="H193" s="266" t="str">
        <f>VLOOKUP('Trial Balance'!$A193,'Code Allocation'!$A:$D,4,0)</f>
        <v>Parks, gardens &amp; open Spaces</v>
      </c>
      <c r="I193" s="267" t="str">
        <f>VLOOKUP('Trial Balance'!$A193,'Code Allocation'!$A:$E,5,0)</f>
        <v>Transport related expenses</v>
      </c>
      <c r="J193" s="268" t="str">
        <f>VLOOKUP('Trial Balance'!$A193,'Code Allocation'!$A:$F,6,0)</f>
        <v>Transport - Pick-up</v>
      </c>
    </row>
    <row r="194" spans="1:256" ht="15" customHeight="1" x14ac:dyDescent="0.3">
      <c r="A194" s="638">
        <v>37370399</v>
      </c>
      <c r="B194" s="638" t="s">
        <v>390</v>
      </c>
      <c r="C194" s="638">
        <v>129</v>
      </c>
      <c r="D194" s="311"/>
      <c r="E194" s="305">
        <f>SUMIF(Adjustments!A:A,A194,Adjustments!C:C)</f>
        <v>0</v>
      </c>
      <c r="F194" s="639">
        <f t="shared" si="2"/>
        <v>129</v>
      </c>
      <c r="G194" s="263" t="str">
        <f>VLOOKUP('Trial Balance'!$A194,'Code Allocation'!$A:$D,3,0)</f>
        <v>CRA</v>
      </c>
      <c r="H194" s="266" t="str">
        <f>VLOOKUP('Trial Balance'!$A194,'Code Allocation'!$A:$D,4,0)</f>
        <v>Parks, gardens &amp; open Spaces</v>
      </c>
      <c r="I194" s="267" t="str">
        <f>VLOOKUP('Trial Balance'!$A194,'Code Allocation'!$A:$E,5,0)</f>
        <v>Transport related expenses</v>
      </c>
      <c r="J194" s="268" t="str">
        <f>VLOOKUP('Trial Balance'!$A194,'Code Allocation'!$A:$F,6,0)</f>
        <v>Transport - Pick-up</v>
      </c>
    </row>
    <row r="195" spans="1:256" ht="15" customHeight="1" x14ac:dyDescent="0.3">
      <c r="A195" s="638">
        <v>37410220</v>
      </c>
      <c r="B195" s="638" t="s">
        <v>533</v>
      </c>
      <c r="C195" s="638">
        <v>556.16</v>
      </c>
      <c r="D195" s="311"/>
      <c r="E195" s="305">
        <f>SUMIF(Adjustments!A:A,A195,Adjustments!C:C)</f>
        <v>0</v>
      </c>
      <c r="F195" s="642">
        <f t="shared" si="2"/>
        <v>556.16</v>
      </c>
      <c r="G195" s="263" t="str">
        <f>VLOOKUP('Trial Balance'!$A195,'Code Allocation'!$A:$D,3,0)</f>
        <v>CRA</v>
      </c>
      <c r="H195" s="266" t="str">
        <f>VLOOKUP('Trial Balance'!$A195,'Code Allocation'!$A:$D,4,0)</f>
        <v>Parks, gardens &amp; open Spaces</v>
      </c>
      <c r="I195" s="267" t="str">
        <f>VLOOKUP('Trial Balance'!$A195,'Code Allocation'!$A:$E,5,0)</f>
        <v>Supplies and Services</v>
      </c>
      <c r="J195" s="268" t="str">
        <f>VLOOKUP('Trial Balance'!$A195,'Code Allocation'!$A:$F,6,0)</f>
        <v>Repairs and Renewals</v>
      </c>
    </row>
    <row r="196" spans="1:256" ht="15" customHeight="1" x14ac:dyDescent="0.3">
      <c r="A196" s="638">
        <v>37410229</v>
      </c>
      <c r="B196" s="638" t="s">
        <v>534</v>
      </c>
      <c r="C196" s="638">
        <v>139.04</v>
      </c>
      <c r="D196" s="311"/>
      <c r="E196" s="305">
        <f>SUMIF(Adjustments!A:A,A196,Adjustments!C:C)</f>
        <v>0</v>
      </c>
      <c r="F196" s="642">
        <f t="shared" si="2"/>
        <v>139.04</v>
      </c>
      <c r="G196" s="263" t="str">
        <f>VLOOKUP('Trial Balance'!$A196,'Code Allocation'!$A:$D,3,0)</f>
        <v>CRA</v>
      </c>
      <c r="H196" s="266" t="str">
        <f>VLOOKUP('Trial Balance'!$A196,'Code Allocation'!$A:$D,4,0)</f>
        <v>Parks, gardens &amp; open Spaces</v>
      </c>
      <c r="I196" s="267" t="str">
        <f>VLOOKUP('Trial Balance'!$A196,'Code Allocation'!$A:$E,5,0)</f>
        <v>Supplies and Services</v>
      </c>
      <c r="J196" s="268" t="str">
        <f>VLOOKUP('Trial Balance'!$A196,'Code Allocation'!$A:$F,6,0)</f>
        <v>Repairs and Renewals</v>
      </c>
    </row>
    <row r="197" spans="1:256" ht="15" customHeight="1" x14ac:dyDescent="0.3">
      <c r="A197" s="638">
        <v>37410230</v>
      </c>
      <c r="B197" s="638" t="s">
        <v>535</v>
      </c>
      <c r="C197" s="638">
        <v>117.18</v>
      </c>
      <c r="D197" s="311"/>
      <c r="E197" s="305">
        <f>SUMIF(Adjustments!A:A,A197,Adjustments!C:C)</f>
        <v>0</v>
      </c>
      <c r="F197" s="642">
        <f t="shared" si="2"/>
        <v>117.18</v>
      </c>
      <c r="G197" s="263" t="str">
        <f>VLOOKUP('Trial Balance'!$A197,'Code Allocation'!$A:$D,3,0)</f>
        <v>CRA</v>
      </c>
      <c r="H197" s="266" t="str">
        <f>VLOOKUP('Trial Balance'!$A197,'Code Allocation'!$A:$D,4,0)</f>
        <v>Parks, gardens &amp; open Spaces</v>
      </c>
      <c r="I197" s="267" t="str">
        <f>VLOOKUP('Trial Balance'!$A197,'Code Allocation'!$A:$E,5,0)</f>
        <v>Supplies and Services</v>
      </c>
      <c r="J197" s="268" t="str">
        <f>VLOOKUP('Trial Balance'!$A197,'Code Allocation'!$A:$F,6,0)</f>
        <v>Repairs and Renewals</v>
      </c>
    </row>
    <row r="198" spans="1:256" ht="15" customHeight="1" x14ac:dyDescent="0.3">
      <c r="A198" s="638">
        <v>37410236</v>
      </c>
      <c r="B198" s="638" t="s">
        <v>536</v>
      </c>
      <c r="C198" s="638">
        <v>176</v>
      </c>
      <c r="D198" s="311"/>
      <c r="E198" s="305">
        <f>SUMIF(Adjustments!A:A,A198,Adjustments!C:C)</f>
        <v>0</v>
      </c>
      <c r="F198" s="642">
        <f t="shared" si="2"/>
        <v>176</v>
      </c>
      <c r="G198" s="263" t="str">
        <f>VLOOKUP('Trial Balance'!$A198,'Code Allocation'!$A:$D,3,0)</f>
        <v>CRA</v>
      </c>
      <c r="H198" s="266" t="str">
        <f>VLOOKUP('Trial Balance'!$A198,'Code Allocation'!$A:$D,4,0)</f>
        <v>Parks, gardens &amp; open Spaces</v>
      </c>
      <c r="I198" s="267" t="str">
        <f>VLOOKUP('Trial Balance'!$A198,'Code Allocation'!$A:$E,5,0)</f>
        <v>Supplies and Services</v>
      </c>
      <c r="J198" s="268" t="str">
        <f>VLOOKUP('Trial Balance'!$A198,'Code Allocation'!$A:$F,6,0)</f>
        <v>Repairs and Renewals</v>
      </c>
    </row>
    <row r="199" spans="1:256" ht="15" customHeight="1" x14ac:dyDescent="0.3">
      <c r="A199" s="638">
        <v>37410241</v>
      </c>
      <c r="B199" s="638" t="s">
        <v>537</v>
      </c>
      <c r="C199" s="640">
        <v>5946</v>
      </c>
      <c r="D199" s="311"/>
      <c r="E199" s="305">
        <f>SUMIF(Adjustments!A:A,A199,Adjustments!C:C)</f>
        <v>0</v>
      </c>
      <c r="F199" s="642">
        <f t="shared" si="2"/>
        <v>5946</v>
      </c>
      <c r="G199" s="263" t="str">
        <f>VLOOKUP('Trial Balance'!$A199,'Code Allocation'!$A:$D,3,0)</f>
        <v>CRA</v>
      </c>
      <c r="H199" s="266" t="str">
        <f>VLOOKUP('Trial Balance'!$A199,'Code Allocation'!$A:$D,4,0)</f>
        <v>Parks, gardens &amp; open Spaces</v>
      </c>
      <c r="I199" s="267" t="str">
        <f>VLOOKUP('Trial Balance'!$A199,'Code Allocation'!$A:$E,5,0)</f>
        <v>Supplies and Services</v>
      </c>
      <c r="J199" s="268" t="str">
        <f>VLOOKUP('Trial Balance'!$A199,'Code Allocation'!$A:$F,6,0)</f>
        <v>Repairs and Renewals</v>
      </c>
    </row>
    <row r="200" spans="1:256" ht="15" customHeight="1" x14ac:dyDescent="0.3">
      <c r="A200" s="638">
        <v>37410299</v>
      </c>
      <c r="B200" s="638" t="s">
        <v>538</v>
      </c>
      <c r="C200" s="311"/>
      <c r="D200" s="638">
        <v>263.97000000000003</v>
      </c>
      <c r="E200" s="305">
        <f>SUMIF(Adjustments!A:A,A200,Adjustments!C:C)</f>
        <v>0</v>
      </c>
      <c r="F200" s="280">
        <f t="shared" si="2"/>
        <v>-263.97000000000003</v>
      </c>
      <c r="G200" s="263" t="str">
        <f>VLOOKUP('Trial Balance'!$A200,'Code Allocation'!$A:$D,3,0)</f>
        <v>CRA</v>
      </c>
      <c r="H200" s="266" t="str">
        <f>VLOOKUP('Trial Balance'!$A200,'Code Allocation'!$A:$D,4,0)</f>
        <v>Parks, gardens &amp; open Spaces</v>
      </c>
      <c r="I200" s="267" t="str">
        <f>VLOOKUP('Trial Balance'!$A200,'Code Allocation'!$A:$E,5,0)</f>
        <v>Supplies and Services</v>
      </c>
      <c r="J200" s="268" t="str">
        <f>VLOOKUP('Trial Balance'!$A200,'Code Allocation'!$A:$F,6,0)</f>
        <v>Repairs and Renewals</v>
      </c>
    </row>
    <row r="201" spans="1:256" ht="15" customHeight="1" x14ac:dyDescent="0.3">
      <c r="A201" s="638">
        <v>37410399</v>
      </c>
      <c r="B201" s="638" t="s">
        <v>539</v>
      </c>
      <c r="C201" s="638">
        <v>5.0199999999999996</v>
      </c>
      <c r="D201" s="311"/>
      <c r="E201" s="305">
        <f>SUMIF(Adjustments!A:A,A201,Adjustments!C:C)</f>
        <v>0</v>
      </c>
      <c r="F201" s="280">
        <f t="shared" si="2"/>
        <v>5.0199999999999996</v>
      </c>
      <c r="G201" s="263" t="str">
        <f>VLOOKUP('Trial Balance'!$A201,'Code Allocation'!$A:$D,3,0)</f>
        <v>CRA</v>
      </c>
      <c r="H201" s="266" t="str">
        <f>VLOOKUP('Trial Balance'!$A201,'Code Allocation'!$A:$D,4,0)</f>
        <v>Parks, gardens &amp; open Spaces</v>
      </c>
      <c r="I201" s="267" t="str">
        <f>VLOOKUP('Trial Balance'!$A201,'Code Allocation'!$A:$E,5,0)</f>
        <v>Premises Related Expenses</v>
      </c>
      <c r="J201" s="268" t="str">
        <f>VLOOKUP('Trial Balance'!$A201,'Code Allocation'!$A:$F,6,0)</f>
        <v>Repairs &amp; Maintenance</v>
      </c>
    </row>
    <row r="202" spans="1:256" ht="15" customHeight="1" x14ac:dyDescent="0.3">
      <c r="A202" s="638">
        <v>37420120</v>
      </c>
      <c r="B202" s="638" t="s">
        <v>540</v>
      </c>
      <c r="C202" s="638">
        <v>14.47</v>
      </c>
      <c r="D202" s="311"/>
      <c r="E202" s="305">
        <f>SUMIF(Adjustments!A:A,A202,Adjustments!C:C)</f>
        <v>0</v>
      </c>
      <c r="F202" s="642">
        <f t="shared" si="2"/>
        <v>14.47</v>
      </c>
      <c r="G202" s="263" t="str">
        <f>VLOOKUP('Trial Balance'!$A202,'Code Allocation'!$A:$D,3,0)</f>
        <v>CRA</v>
      </c>
      <c r="H202" s="266" t="str">
        <f>VLOOKUP('Trial Balance'!$A202,'Code Allocation'!$A:$D,4,0)</f>
        <v>Parks, gardens &amp; open Spaces</v>
      </c>
      <c r="I202" s="267" t="str">
        <f>VLOOKUP('Trial Balance'!$A202,'Code Allocation'!$A:$E,5,0)</f>
        <v>Supplies and Services</v>
      </c>
      <c r="J202" s="268" t="str">
        <f>VLOOKUP('Trial Balance'!$A202,'Code Allocation'!$A:$F,6,0)</f>
        <v>Repairs and Renewals</v>
      </c>
    </row>
    <row r="203" spans="1:256" ht="15" customHeight="1" x14ac:dyDescent="0.3">
      <c r="A203" s="638">
        <v>37420143</v>
      </c>
      <c r="B203" s="638" t="s">
        <v>541</v>
      </c>
      <c r="C203" s="638">
        <v>171.65</v>
      </c>
      <c r="D203" s="311"/>
      <c r="E203" s="305">
        <f>SUMIF(Adjustments!A:A,A203,Adjustments!C:C)</f>
        <v>0</v>
      </c>
      <c r="F203" s="639">
        <f t="shared" si="2"/>
        <v>171.65</v>
      </c>
      <c r="G203" s="263" t="str">
        <f>VLOOKUP('Trial Balance'!$A203,'Code Allocation'!$A:$D,3,0)</f>
        <v>CRA</v>
      </c>
      <c r="H203" s="266" t="str">
        <f>VLOOKUP('Trial Balance'!$A203,'Code Allocation'!$A:$D,4,0)</f>
        <v>Parks, gardens &amp; open Spaces</v>
      </c>
      <c r="I203" s="267" t="str">
        <f>VLOOKUP('Trial Balance'!$A203,'Code Allocation'!$A:$E,5,0)</f>
        <v>Supplies and Services</v>
      </c>
      <c r="J203" s="268" t="str">
        <f>VLOOKUP('Trial Balance'!$A203,'Code Allocation'!$A:$F,6,0)</f>
        <v>Repairs &amp; Maintenance - Gardens/Amenity Areas</v>
      </c>
    </row>
    <row r="204" spans="1:256" ht="15" customHeight="1" x14ac:dyDescent="0.3">
      <c r="A204" s="638">
        <v>37420199</v>
      </c>
      <c r="B204" s="638" t="s">
        <v>542</v>
      </c>
      <c r="C204" s="638">
        <v>10.73</v>
      </c>
      <c r="D204" s="311"/>
      <c r="E204" s="305">
        <f>SUMIF(Adjustments!A:A,A204,Adjustments!C:C)</f>
        <v>0</v>
      </c>
      <c r="F204" s="639">
        <f t="shared" si="2"/>
        <v>10.73</v>
      </c>
      <c r="G204" s="263" t="str">
        <f>VLOOKUP('Trial Balance'!$A204,'Code Allocation'!$A:$D,3,0)</f>
        <v>CRA</v>
      </c>
      <c r="H204" s="266" t="str">
        <f>VLOOKUP('Trial Balance'!$A204,'Code Allocation'!$A:$D,4,0)</f>
        <v>Parks, gardens &amp; open Spaces</v>
      </c>
      <c r="I204" s="267" t="str">
        <f>VLOOKUP('Trial Balance'!$A204,'Code Allocation'!$A:$E,5,0)</f>
        <v>Supplies and Services</v>
      </c>
      <c r="J204" s="268" t="str">
        <f>VLOOKUP('Trial Balance'!$A204,'Code Allocation'!$A:$F,6,0)</f>
        <v>Repairs &amp; Maintenance - Gardens/Amenity Areas</v>
      </c>
    </row>
    <row r="205" spans="1:256" ht="15" customHeight="1" x14ac:dyDescent="0.3">
      <c r="A205" s="638">
        <v>37420299</v>
      </c>
      <c r="B205" s="638" t="s">
        <v>543</v>
      </c>
      <c r="C205" s="638">
        <v>134.68</v>
      </c>
      <c r="D205" s="311"/>
      <c r="E205" s="305">
        <f>SUMIF(Adjustments!A:A,A205,Adjustments!C:C)</f>
        <v>0</v>
      </c>
      <c r="F205" s="642">
        <f t="shared" si="2"/>
        <v>134.68</v>
      </c>
      <c r="G205" s="263" t="str">
        <f>VLOOKUP('Trial Balance'!$A205,'Code Allocation'!$A:$D,3,0)</f>
        <v>CRA</v>
      </c>
      <c r="H205" s="266" t="str">
        <f>VLOOKUP('Trial Balance'!$A205,'Code Allocation'!$A:$D,4,0)</f>
        <v>Parks, gardens &amp; open Spaces</v>
      </c>
      <c r="I205" s="267" t="str">
        <f>VLOOKUP('Trial Balance'!$A205,'Code Allocation'!$A:$E,5,0)</f>
        <v>Supplies and Services</v>
      </c>
      <c r="J205" s="268" t="str">
        <f>VLOOKUP('Trial Balance'!$A205,'Code Allocation'!$A:$F,6,0)</f>
        <v>Repairs &amp; Maintenance - Gardens/Amenity Areas</v>
      </c>
    </row>
    <row r="206" spans="1:256" ht="15" customHeight="1" x14ac:dyDescent="0.3">
      <c r="A206" s="638">
        <v>37420320</v>
      </c>
      <c r="B206" s="638" t="s">
        <v>544</v>
      </c>
      <c r="C206" s="638">
        <v>831.67</v>
      </c>
      <c r="D206" s="311"/>
      <c r="E206" s="305">
        <f>SUMIF(Adjustments!A:A,A206,Adjustments!C:C)</f>
        <v>0</v>
      </c>
      <c r="F206" s="639">
        <f t="shared" si="2"/>
        <v>831.67</v>
      </c>
      <c r="G206" s="263" t="str">
        <f>VLOOKUP('Trial Balance'!$A206,'Code Allocation'!$A:$D,3,0)</f>
        <v>CRA</v>
      </c>
      <c r="H206" s="266" t="str">
        <f>VLOOKUP('Trial Balance'!$A206,'Code Allocation'!$A:$D,4,0)</f>
        <v>Parks, gardens &amp; open Spaces</v>
      </c>
      <c r="I206" s="267" t="str">
        <f>VLOOKUP('Trial Balance'!$A206,'Code Allocation'!$A:$E,5,0)</f>
        <v>Supplies and Services</v>
      </c>
      <c r="J206" s="268" t="str">
        <f>VLOOKUP('Trial Balance'!$A206,'Code Allocation'!$A:$F,6,0)</f>
        <v>Repairs &amp; Maintenance - Gardens/Amenity Areas</v>
      </c>
    </row>
    <row r="207" spans="1:256" ht="15" customHeight="1" x14ac:dyDescent="0.3">
      <c r="A207" s="638">
        <v>37420399</v>
      </c>
      <c r="B207" s="638" t="s">
        <v>545</v>
      </c>
      <c r="C207" s="638">
        <v>111.48</v>
      </c>
      <c r="D207" s="311"/>
      <c r="E207" s="305">
        <f>SUMIF(Adjustments!A:A,A207,Adjustments!C:C)</f>
        <v>0</v>
      </c>
      <c r="F207" s="642">
        <f t="shared" si="2"/>
        <v>111.48</v>
      </c>
      <c r="G207" s="263" t="str">
        <f>VLOOKUP('Trial Balance'!$A207,'Code Allocation'!$A:$D,3,0)</f>
        <v>CRA</v>
      </c>
      <c r="H207" s="266" t="str">
        <f>VLOOKUP('Trial Balance'!$A207,'Code Allocation'!$A:$D,4,0)</f>
        <v>Parks, gardens &amp; open Spaces</v>
      </c>
      <c r="I207" s="267" t="str">
        <f>VLOOKUP('Trial Balance'!$A207,'Code Allocation'!$A:$E,5,0)</f>
        <v>Supplies and Services</v>
      </c>
      <c r="J207" s="268" t="str">
        <f>VLOOKUP('Trial Balance'!$A207,'Code Allocation'!$A:$F,6,0)</f>
        <v>Repairs &amp; Maintenance - Gardens/Amenity Areas</v>
      </c>
    </row>
    <row r="208" spans="1:256" s="279" customFormat="1" ht="15" customHeight="1" x14ac:dyDescent="0.3">
      <c r="A208" s="638">
        <v>37420520</v>
      </c>
      <c r="B208" s="638" t="s">
        <v>546</v>
      </c>
      <c r="C208" s="640">
        <v>1889.38</v>
      </c>
      <c r="D208" s="311"/>
      <c r="E208" s="305">
        <f>SUMIF(Adjustments!A:A,A208,Adjustments!C:C)</f>
        <v>0</v>
      </c>
      <c r="F208" s="642">
        <f t="shared" si="2"/>
        <v>1889.38</v>
      </c>
      <c r="G208" s="263" t="str">
        <f>VLOOKUP('Trial Balance'!$A208,'Code Allocation'!$A:$D,3,0)</f>
        <v>CRA</v>
      </c>
      <c r="H208" s="266" t="str">
        <f>VLOOKUP('Trial Balance'!$A208,'Code Allocation'!$A:$D,4,0)</f>
        <v>Parks, gardens &amp; open Spaces</v>
      </c>
      <c r="I208" s="267" t="str">
        <f>VLOOKUP('Trial Balance'!$A208,'Code Allocation'!$A:$E,5,0)</f>
        <v>Supplies and Services</v>
      </c>
      <c r="J208" s="268" t="str">
        <f>VLOOKUP('Trial Balance'!$A208,'Code Allocation'!$A:$F,6,0)</f>
        <v>Repairs &amp; Maintenance - Gardens/Amenity Areas</v>
      </c>
      <c r="K208" s="263"/>
      <c r="L208" s="263"/>
      <c r="M208" s="263"/>
      <c r="N208" s="263"/>
      <c r="O208" s="263"/>
      <c r="P208" s="263"/>
      <c r="Q208" s="263"/>
      <c r="R208" s="263"/>
      <c r="S208" s="263"/>
      <c r="T208" s="263"/>
      <c r="U208" s="263"/>
      <c r="V208" s="263"/>
      <c r="W208" s="263"/>
      <c r="X208" s="263"/>
      <c r="Y208" s="263"/>
      <c r="Z208" s="263"/>
      <c r="AA208" s="263"/>
      <c r="AB208" s="263"/>
      <c r="AC208" s="263"/>
      <c r="AD208" s="263"/>
      <c r="AE208" s="263"/>
      <c r="AF208" s="263"/>
      <c r="AG208" s="263"/>
      <c r="AH208" s="263"/>
      <c r="AI208" s="263"/>
      <c r="AJ208" s="263"/>
      <c r="AK208" s="263"/>
      <c r="AL208" s="263"/>
      <c r="AM208" s="263"/>
      <c r="AN208" s="263"/>
      <c r="AO208" s="263"/>
      <c r="AP208" s="263"/>
      <c r="AQ208" s="263"/>
      <c r="AR208" s="263"/>
      <c r="AS208" s="263"/>
      <c r="AT208" s="263"/>
      <c r="AU208" s="263"/>
      <c r="AV208" s="263"/>
      <c r="AW208" s="263"/>
      <c r="AX208" s="263"/>
      <c r="AY208" s="263"/>
      <c r="AZ208" s="263"/>
      <c r="BA208" s="263"/>
      <c r="BB208" s="263"/>
      <c r="BC208" s="263"/>
      <c r="BD208" s="263"/>
      <c r="BE208" s="263"/>
      <c r="BF208" s="263"/>
      <c r="BG208" s="263"/>
      <c r="BH208" s="263"/>
      <c r="BI208" s="263"/>
      <c r="BJ208" s="263"/>
      <c r="BK208" s="263"/>
      <c r="BL208" s="263"/>
      <c r="BM208" s="263"/>
      <c r="BN208" s="263"/>
      <c r="BO208" s="263"/>
      <c r="BP208" s="263"/>
      <c r="BQ208" s="263"/>
      <c r="BR208" s="263"/>
      <c r="BS208" s="263"/>
      <c r="BT208" s="263"/>
      <c r="BU208" s="263"/>
      <c r="BV208" s="263"/>
      <c r="BW208" s="263"/>
      <c r="BX208" s="263"/>
      <c r="BY208" s="263"/>
      <c r="BZ208" s="263"/>
      <c r="CA208" s="263"/>
      <c r="CB208" s="263"/>
      <c r="CC208" s="263"/>
      <c r="CD208" s="263"/>
      <c r="CE208" s="263"/>
      <c r="CF208" s="263"/>
      <c r="CG208" s="263"/>
      <c r="CH208" s="263"/>
      <c r="CI208" s="263"/>
      <c r="CJ208" s="263"/>
      <c r="CK208" s="263"/>
      <c r="CL208" s="263"/>
      <c r="CM208" s="263"/>
      <c r="CN208" s="263"/>
      <c r="CO208" s="263"/>
      <c r="CP208" s="263"/>
      <c r="CQ208" s="263"/>
      <c r="CR208" s="263"/>
      <c r="CS208" s="263"/>
      <c r="CT208" s="263"/>
      <c r="CU208" s="263"/>
      <c r="CV208" s="263"/>
      <c r="CW208" s="263"/>
      <c r="CX208" s="263"/>
      <c r="CY208" s="263"/>
      <c r="CZ208" s="263"/>
      <c r="DA208" s="263"/>
      <c r="DB208" s="263"/>
      <c r="DC208" s="263"/>
      <c r="DD208" s="263"/>
      <c r="DE208" s="263"/>
      <c r="DF208" s="263"/>
      <c r="DG208" s="263"/>
      <c r="DH208" s="263"/>
      <c r="DI208" s="263"/>
      <c r="DJ208" s="263"/>
      <c r="DK208" s="263"/>
      <c r="DL208" s="263"/>
      <c r="DM208" s="263"/>
      <c r="DN208" s="263"/>
      <c r="DO208" s="263"/>
      <c r="DP208" s="263"/>
      <c r="DQ208" s="263"/>
      <c r="DR208" s="263"/>
      <c r="DS208" s="263"/>
      <c r="DT208" s="263"/>
      <c r="DU208" s="263"/>
      <c r="DV208" s="263"/>
      <c r="DW208" s="263"/>
      <c r="DX208" s="263"/>
      <c r="DY208" s="263"/>
      <c r="DZ208" s="263"/>
      <c r="EA208" s="263"/>
      <c r="EB208" s="263"/>
      <c r="EC208" s="263"/>
      <c r="ED208" s="263"/>
      <c r="EE208" s="263"/>
      <c r="EF208" s="263"/>
      <c r="EG208" s="263"/>
      <c r="EH208" s="263"/>
      <c r="EI208" s="263"/>
      <c r="EJ208" s="263"/>
      <c r="EK208" s="263"/>
      <c r="EL208" s="263"/>
      <c r="EM208" s="263"/>
      <c r="EN208" s="263"/>
      <c r="EO208" s="263"/>
      <c r="EP208" s="263"/>
      <c r="EQ208" s="263"/>
      <c r="ER208" s="263"/>
      <c r="ES208" s="263"/>
      <c r="ET208" s="263"/>
      <c r="EU208" s="263"/>
      <c r="EV208" s="263"/>
      <c r="EW208" s="263"/>
      <c r="EX208" s="263"/>
      <c r="EY208" s="263"/>
      <c r="EZ208" s="263"/>
      <c r="FA208" s="263"/>
      <c r="FB208" s="263"/>
      <c r="FC208" s="263"/>
      <c r="FD208" s="263"/>
      <c r="FE208" s="263"/>
      <c r="FF208" s="263"/>
      <c r="FG208" s="263"/>
      <c r="FH208" s="263"/>
      <c r="FI208" s="263"/>
      <c r="FJ208" s="263"/>
      <c r="FK208" s="263"/>
      <c r="FL208" s="263"/>
      <c r="FM208" s="263"/>
      <c r="FN208" s="263"/>
      <c r="FO208" s="263"/>
      <c r="FP208" s="263"/>
      <c r="FQ208" s="263"/>
      <c r="FR208" s="263"/>
      <c r="FS208" s="263"/>
      <c r="FT208" s="263"/>
      <c r="FU208" s="263"/>
      <c r="FV208" s="263"/>
      <c r="FW208" s="263"/>
      <c r="FX208" s="263"/>
      <c r="FY208" s="263"/>
      <c r="FZ208" s="263"/>
      <c r="GA208" s="263"/>
      <c r="GB208" s="263"/>
      <c r="GC208" s="263"/>
      <c r="GD208" s="263"/>
      <c r="GE208" s="263"/>
      <c r="GF208" s="263"/>
      <c r="GG208" s="263"/>
      <c r="GH208" s="263"/>
      <c r="GI208" s="263"/>
      <c r="GJ208" s="263"/>
      <c r="GK208" s="263"/>
      <c r="GL208" s="263"/>
      <c r="GM208" s="263"/>
      <c r="GN208" s="263"/>
      <c r="GO208" s="263"/>
      <c r="GP208" s="263"/>
      <c r="GQ208" s="263"/>
      <c r="GR208" s="263"/>
      <c r="GS208" s="263"/>
      <c r="GT208" s="263"/>
      <c r="GU208" s="263"/>
      <c r="GV208" s="263"/>
      <c r="GW208" s="263"/>
      <c r="GX208" s="263"/>
      <c r="GY208" s="263"/>
      <c r="GZ208" s="263"/>
      <c r="HA208" s="263"/>
      <c r="HB208" s="263"/>
      <c r="HC208" s="263"/>
      <c r="HD208" s="263"/>
      <c r="HE208" s="263"/>
      <c r="HF208" s="263"/>
      <c r="HG208" s="263"/>
      <c r="HH208" s="263"/>
      <c r="HI208" s="263"/>
      <c r="HJ208" s="263"/>
      <c r="HK208" s="263"/>
      <c r="HL208" s="263"/>
      <c r="HM208" s="263"/>
      <c r="HN208" s="263"/>
      <c r="HO208" s="263"/>
      <c r="HP208" s="263"/>
      <c r="HQ208" s="263"/>
      <c r="HR208" s="263"/>
      <c r="HS208" s="263"/>
      <c r="HT208" s="263"/>
      <c r="HU208" s="263"/>
      <c r="HV208" s="263"/>
      <c r="HW208" s="263"/>
      <c r="HX208" s="263"/>
      <c r="HY208" s="263"/>
      <c r="HZ208" s="263"/>
      <c r="IA208" s="263"/>
      <c r="IB208" s="263"/>
      <c r="IC208" s="263"/>
      <c r="ID208" s="263"/>
      <c r="IE208" s="263"/>
      <c r="IF208" s="263"/>
      <c r="IG208" s="263"/>
      <c r="IH208" s="263"/>
      <c r="II208" s="263"/>
      <c r="IJ208" s="263"/>
      <c r="IK208" s="263"/>
      <c r="IL208" s="263"/>
      <c r="IM208" s="263"/>
      <c r="IN208" s="263"/>
      <c r="IO208" s="263"/>
      <c r="IP208" s="263"/>
      <c r="IQ208" s="263"/>
      <c r="IR208" s="263"/>
      <c r="IS208" s="263"/>
      <c r="IT208" s="263"/>
      <c r="IU208" s="263"/>
      <c r="IV208" s="263"/>
    </row>
    <row r="209" spans="1:256" ht="15" customHeight="1" x14ac:dyDescent="0.3">
      <c r="A209" s="638">
        <v>37420599</v>
      </c>
      <c r="B209" s="638" t="s">
        <v>547</v>
      </c>
      <c r="C209" s="640">
        <v>2081.23</v>
      </c>
      <c r="D209" s="311"/>
      <c r="E209" s="305">
        <f>SUMIF(Adjustments!A:A,A209,Adjustments!C:C)</f>
        <v>0</v>
      </c>
      <c r="F209" s="639">
        <f t="shared" si="2"/>
        <v>2081.23</v>
      </c>
      <c r="G209" s="263" t="str">
        <f>VLOOKUP('Trial Balance'!$A209,'Code Allocation'!$A:$D,3,0)</f>
        <v>CRA</v>
      </c>
      <c r="H209" s="266" t="str">
        <f>VLOOKUP('Trial Balance'!$A209,'Code Allocation'!$A:$D,4,0)</f>
        <v>Parks, gardens &amp; open Spaces</v>
      </c>
      <c r="I209" s="267" t="str">
        <f>VLOOKUP('Trial Balance'!$A209,'Code Allocation'!$A:$E,5,0)</f>
        <v>Supplies and Services</v>
      </c>
      <c r="J209" s="268" t="str">
        <f>VLOOKUP('Trial Balance'!$A209,'Code Allocation'!$A:$F,6,0)</f>
        <v>Repairs &amp; Maintenance - Gardens/Amenity Areas</v>
      </c>
    </row>
    <row r="210" spans="1:256" ht="15" customHeight="1" x14ac:dyDescent="0.3">
      <c r="A210" s="638">
        <v>37420620</v>
      </c>
      <c r="B210" s="638" t="s">
        <v>548</v>
      </c>
      <c r="C210" s="638">
        <v>780.7</v>
      </c>
      <c r="D210" s="311"/>
      <c r="E210" s="305">
        <f>SUMIF(Adjustments!A:A,A210,Adjustments!C:C)</f>
        <v>0</v>
      </c>
      <c r="F210" s="642">
        <f t="shared" si="2"/>
        <v>780.7</v>
      </c>
      <c r="G210" s="263" t="str">
        <f>VLOOKUP('Trial Balance'!$A210,'Code Allocation'!$A:$D,3,0)</f>
        <v>CRA</v>
      </c>
      <c r="H210" s="266" t="str">
        <f>VLOOKUP('Trial Balance'!$A210,'Code Allocation'!$A:$D,4,0)</f>
        <v>Parks, gardens &amp; open Spaces</v>
      </c>
      <c r="I210" s="267" t="str">
        <f>VLOOKUP('Trial Balance'!$A210,'Code Allocation'!$A:$E,5,0)</f>
        <v>Supplies and Services</v>
      </c>
      <c r="J210" s="268" t="str">
        <f>VLOOKUP('Trial Balance'!$A210,'Code Allocation'!$A:$F,6,0)</f>
        <v>Repairs &amp; Maintenance - Gardens/Amenity Areas</v>
      </c>
    </row>
    <row r="211" spans="1:256" ht="15" customHeight="1" x14ac:dyDescent="0.3">
      <c r="A211" s="638">
        <v>37420629</v>
      </c>
      <c r="B211" s="638" t="s">
        <v>549</v>
      </c>
      <c r="C211" s="638">
        <v>69.87</v>
      </c>
      <c r="D211" s="311"/>
      <c r="E211" s="305">
        <f>SUMIF(Adjustments!A:A,A211,Adjustments!C:C)</f>
        <v>0</v>
      </c>
      <c r="F211" s="642">
        <f t="shared" si="2"/>
        <v>69.87</v>
      </c>
      <c r="G211" s="263" t="str">
        <f>VLOOKUP('Trial Balance'!$A211,'Code Allocation'!$A:$D,3,0)</f>
        <v>CRA</v>
      </c>
      <c r="H211" s="266" t="str">
        <f>VLOOKUP('Trial Balance'!$A211,'Code Allocation'!$A:$D,4,0)</f>
        <v>Parks, gardens &amp; open Spaces</v>
      </c>
      <c r="I211" s="267" t="str">
        <f>VLOOKUP('Trial Balance'!$A211,'Code Allocation'!$A:$E,5,0)</f>
        <v>Supplies and Services</v>
      </c>
      <c r="J211" s="268" t="str">
        <f>VLOOKUP('Trial Balance'!$A211,'Code Allocation'!$A:$F,6,0)</f>
        <v>Repairs &amp; Maintenance - Gardens/Amenity Areas</v>
      </c>
    </row>
    <row r="212" spans="1:256" ht="15" customHeight="1" x14ac:dyDescent="0.3">
      <c r="A212" s="638">
        <v>37420631</v>
      </c>
      <c r="B212" s="638" t="s">
        <v>550</v>
      </c>
      <c r="C212" s="638">
        <v>650</v>
      </c>
      <c r="D212" s="311"/>
      <c r="E212" s="305">
        <f>SUMIF(Adjustments!A:A,A212,Adjustments!C:C)</f>
        <v>0</v>
      </c>
      <c r="F212" s="639">
        <f t="shared" si="2"/>
        <v>650</v>
      </c>
      <c r="G212" s="263" t="str">
        <f>VLOOKUP('Trial Balance'!$A212,'Code Allocation'!$A:$D,3,0)</f>
        <v>CRA</v>
      </c>
      <c r="H212" s="266" t="str">
        <f>VLOOKUP('Trial Balance'!$A212,'Code Allocation'!$A:$D,4,0)</f>
        <v>Parks, gardens &amp; open Spaces</v>
      </c>
      <c r="I212" s="267" t="str">
        <f>VLOOKUP('Trial Balance'!$A212,'Code Allocation'!$A:$E,5,0)</f>
        <v>Supplies and Services</v>
      </c>
      <c r="J212" s="268" t="str">
        <f>VLOOKUP('Trial Balance'!$A212,'Code Allocation'!$A:$F,6,0)</f>
        <v>Repairs &amp; Maintenance - Gardens/Amenity Areas</v>
      </c>
    </row>
    <row r="213" spans="1:256" ht="15" customHeight="1" x14ac:dyDescent="0.3">
      <c r="A213" s="638">
        <v>37420635</v>
      </c>
      <c r="B213" s="638" t="s">
        <v>551</v>
      </c>
      <c r="C213" s="638">
        <v>517.87</v>
      </c>
      <c r="D213" s="311"/>
      <c r="E213" s="305">
        <f>SUMIF(Adjustments!A:A,A213,Adjustments!C:C)</f>
        <v>0</v>
      </c>
      <c r="F213" s="639">
        <f t="shared" si="2"/>
        <v>517.87</v>
      </c>
      <c r="G213" s="263" t="str">
        <f>VLOOKUP('Trial Balance'!$A213,'Code Allocation'!$A:$D,3,0)</f>
        <v>CRA</v>
      </c>
      <c r="H213" s="266" t="str">
        <f>VLOOKUP('Trial Balance'!$A213,'Code Allocation'!$A:$D,4,0)</f>
        <v>Parks, gardens &amp; open Spaces</v>
      </c>
      <c r="I213" s="267" t="str">
        <f>VLOOKUP('Trial Balance'!$A213,'Code Allocation'!$A:$E,5,0)</f>
        <v>Supplies and Services</v>
      </c>
      <c r="J213" s="268" t="str">
        <f>VLOOKUP('Trial Balance'!$A213,'Code Allocation'!$A:$F,6,0)</f>
        <v>Repairs &amp; Maintenance - Gardens/Amenity Areas</v>
      </c>
    </row>
    <row r="214" spans="1:256" ht="15" customHeight="1" x14ac:dyDescent="0.3">
      <c r="A214" s="638">
        <v>37420641</v>
      </c>
      <c r="B214" s="638" t="s">
        <v>552</v>
      </c>
      <c r="C214" s="638">
        <v>198</v>
      </c>
      <c r="D214" s="311"/>
      <c r="E214" s="305">
        <f>SUMIF(Adjustments!A:A,A214,Adjustments!C:C)</f>
        <v>0</v>
      </c>
      <c r="F214" s="642">
        <f t="shared" si="2"/>
        <v>198</v>
      </c>
      <c r="G214" s="263" t="str">
        <f>VLOOKUP('Trial Balance'!$A214,'Code Allocation'!$A:$D,3,0)</f>
        <v>CRA</v>
      </c>
      <c r="H214" s="266" t="str">
        <f>VLOOKUP('Trial Balance'!$A214,'Code Allocation'!$A:$D,4,0)</f>
        <v>Parks, gardens &amp; open Spaces</v>
      </c>
      <c r="I214" s="267" t="str">
        <f>VLOOKUP('Trial Balance'!$A214,'Code Allocation'!$A:$E,5,0)</f>
        <v>Supplies and Services</v>
      </c>
      <c r="J214" s="268" t="str">
        <f>VLOOKUP('Trial Balance'!$A214,'Code Allocation'!$A:$F,6,0)</f>
        <v>Repairs &amp; Maintenance - Gardens/Amenity Areas</v>
      </c>
    </row>
    <row r="215" spans="1:256" ht="15" hidden="1" customHeight="1" x14ac:dyDescent="0.3">
      <c r="A215" s="638">
        <v>37420645</v>
      </c>
      <c r="B215" s="638" t="s">
        <v>553</v>
      </c>
      <c r="C215" s="638">
        <v>950</v>
      </c>
      <c r="D215" s="311"/>
      <c r="E215" s="305">
        <f>SUMIF(Adjustments!A:A,A215,Adjustments!C:C)</f>
        <v>0</v>
      </c>
      <c r="F215" s="642">
        <f t="shared" si="2"/>
        <v>950</v>
      </c>
      <c r="G215" s="263" t="e">
        <f>VLOOKUP('Trial Balance'!$A215,'Code Allocation'!$A:$D,3,0)</f>
        <v>#N/A</v>
      </c>
      <c r="H215" s="266" t="e">
        <f>VLOOKUP('Trial Balance'!$A215,'Code Allocation'!$A:$D,4,0)</f>
        <v>#N/A</v>
      </c>
      <c r="I215" s="267" t="e">
        <f>VLOOKUP('Trial Balance'!$A215,'Code Allocation'!$A:$E,5,0)</f>
        <v>#N/A</v>
      </c>
      <c r="J215" s="268" t="e">
        <f>VLOOKUP('Trial Balance'!$A215,'Code Allocation'!$A:$F,6,0)</f>
        <v>#N/A</v>
      </c>
    </row>
    <row r="216" spans="1:256" ht="15" hidden="1" customHeight="1" x14ac:dyDescent="0.3">
      <c r="A216" s="638">
        <v>37420669</v>
      </c>
      <c r="B216" s="638" t="s">
        <v>554</v>
      </c>
      <c r="C216" s="638">
        <v>69.86</v>
      </c>
      <c r="D216" s="311"/>
      <c r="E216" s="305">
        <f>SUMIF(Adjustments!A:A,A216,Adjustments!C:C)</f>
        <v>0</v>
      </c>
      <c r="F216" s="642">
        <f t="shared" si="2"/>
        <v>69.86</v>
      </c>
      <c r="G216" s="263" t="e">
        <f>VLOOKUP('Trial Balance'!$A216,'Code Allocation'!$A:$D,3,0)</f>
        <v>#N/A</v>
      </c>
      <c r="H216" s="266" t="e">
        <f>VLOOKUP('Trial Balance'!$A216,'Code Allocation'!$A:$D,4,0)</f>
        <v>#N/A</v>
      </c>
      <c r="I216" s="267" t="e">
        <f>VLOOKUP('Trial Balance'!$A216,'Code Allocation'!$A:$E,5,0)</f>
        <v>#N/A</v>
      </c>
      <c r="J216" s="268" t="e">
        <f>VLOOKUP('Trial Balance'!$A216,'Code Allocation'!$A:$F,6,0)</f>
        <v>#N/A</v>
      </c>
    </row>
    <row r="217" spans="1:256" s="279" customFormat="1" ht="15" customHeight="1" x14ac:dyDescent="0.3">
      <c r="A217" s="638">
        <v>37420720</v>
      </c>
      <c r="B217" s="638" t="s">
        <v>555</v>
      </c>
      <c r="C217" s="311"/>
      <c r="D217" s="638">
        <v>68.45</v>
      </c>
      <c r="E217" s="305">
        <f>SUMIF(Adjustments!A:A,A217,Adjustments!C:C)</f>
        <v>0</v>
      </c>
      <c r="F217" s="283">
        <f t="shared" si="2"/>
        <v>-68.45</v>
      </c>
      <c r="G217" s="263" t="str">
        <f>VLOOKUP('Trial Balance'!$A217,'Code Allocation'!$A:$D,3,0)</f>
        <v>CRA</v>
      </c>
      <c r="H217" s="266" t="str">
        <f>VLOOKUP('Trial Balance'!$A217,'Code Allocation'!$A:$D,4,0)</f>
        <v>Parks, gardens &amp; open Spaces</v>
      </c>
      <c r="I217" s="267" t="str">
        <f>VLOOKUP('Trial Balance'!$A217,'Code Allocation'!$A:$E,5,0)</f>
        <v>Supplies and Services</v>
      </c>
      <c r="J217" s="268" t="str">
        <f>VLOOKUP('Trial Balance'!$A217,'Code Allocation'!$A:$F,6,0)</f>
        <v>Repairs &amp; Maintenance - Gardens/Amenity Areas</v>
      </c>
    </row>
    <row r="218" spans="1:256" s="268" customFormat="1" ht="15" customHeight="1" x14ac:dyDescent="0.3">
      <c r="A218" s="638">
        <v>37420999</v>
      </c>
      <c r="B218" s="638" t="s">
        <v>556</v>
      </c>
      <c r="C218" s="638">
        <v>957.2</v>
      </c>
      <c r="D218" s="311"/>
      <c r="E218" s="305">
        <f>SUMIF(Adjustments!A:A,A218,Adjustments!C:C)</f>
        <v>0</v>
      </c>
      <c r="F218" s="284">
        <f t="shared" si="2"/>
        <v>957.2</v>
      </c>
      <c r="G218" s="263" t="str">
        <f>VLOOKUP('Trial Balance'!$A218,'Code Allocation'!$A:$D,3,0)</f>
        <v>CRA</v>
      </c>
      <c r="H218" s="266" t="str">
        <f>VLOOKUP('Trial Balance'!$A218,'Code Allocation'!$A:$D,4,0)</f>
        <v>Parks, gardens &amp; open Spaces</v>
      </c>
      <c r="I218" s="267" t="str">
        <f>VLOOKUP('Trial Balance'!$A218,'Code Allocation'!$A:$E,5,0)</f>
        <v>Supplies and Services</v>
      </c>
      <c r="J218" s="268" t="str">
        <f>VLOOKUP('Trial Balance'!$A218,'Code Allocation'!$A:$F,6,0)</f>
        <v>Repairs &amp; Maintenance - Gardens/Amenity Areas</v>
      </c>
    </row>
    <row r="219" spans="1:256" ht="15" customHeight="1" x14ac:dyDescent="0.3">
      <c r="A219" s="638">
        <v>37421120</v>
      </c>
      <c r="B219" s="638" t="s">
        <v>557</v>
      </c>
      <c r="C219" s="638">
        <v>865.8</v>
      </c>
      <c r="D219" s="311"/>
      <c r="E219" s="305">
        <f>SUMIF(Adjustments!A:A,A219,Adjustments!C:C)</f>
        <v>0</v>
      </c>
      <c r="F219" s="642">
        <f t="shared" si="2"/>
        <v>865.8</v>
      </c>
      <c r="G219" s="263" t="str">
        <f>VLOOKUP('Trial Balance'!$A219,'Code Allocation'!$A:$D,3,0)</f>
        <v>CRA</v>
      </c>
      <c r="H219" s="266" t="str">
        <f>VLOOKUP('Trial Balance'!$A219,'Code Allocation'!$A:$D,4,0)</f>
        <v>Parks, gardens &amp; open Spaces</v>
      </c>
      <c r="I219" s="267" t="str">
        <f>VLOOKUP('Trial Balance'!$A219,'Code Allocation'!$A:$E,5,0)</f>
        <v>Supplies and Services</v>
      </c>
      <c r="J219" s="268" t="str">
        <f>VLOOKUP('Trial Balance'!$A219,'Code Allocation'!$A:$F,6,0)</f>
        <v>Repairs &amp; Maintenance - Play Equipment</v>
      </c>
    </row>
    <row r="220" spans="1:256" s="281" customFormat="1" ht="15" customHeight="1" x14ac:dyDescent="0.3">
      <c r="A220" s="638">
        <v>37421126</v>
      </c>
      <c r="B220" s="638" t="s">
        <v>558</v>
      </c>
      <c r="C220" s="638">
        <v>72.77</v>
      </c>
      <c r="D220" s="311"/>
      <c r="E220" s="305">
        <f>SUMIF(Adjustments!A:A,A220,Adjustments!C:C)</f>
        <v>0</v>
      </c>
      <c r="F220" s="642">
        <f t="shared" si="2"/>
        <v>72.77</v>
      </c>
      <c r="G220" s="263" t="str">
        <f>VLOOKUP('Trial Balance'!$A220,'Code Allocation'!$A:$D,3,0)</f>
        <v>CRA</v>
      </c>
      <c r="H220" s="266" t="str">
        <f>VLOOKUP('Trial Balance'!$A220,'Code Allocation'!$A:$D,4,0)</f>
        <v>Parks, gardens &amp; open Spaces</v>
      </c>
      <c r="I220" s="267" t="str">
        <f>VLOOKUP('Trial Balance'!$A220,'Code Allocation'!$A:$E,5,0)</f>
        <v>Supplies and Services</v>
      </c>
      <c r="J220" s="268" t="str">
        <f>VLOOKUP('Trial Balance'!$A220,'Code Allocation'!$A:$F,6,0)</f>
        <v>Repairs &amp; Maintenance - Play Equipment</v>
      </c>
      <c r="K220" s="263"/>
      <c r="L220" s="263"/>
      <c r="M220" s="263"/>
      <c r="N220" s="263"/>
      <c r="O220" s="263"/>
      <c r="P220" s="263"/>
      <c r="Q220" s="263"/>
      <c r="R220" s="263"/>
      <c r="S220" s="263"/>
      <c r="T220" s="263"/>
      <c r="U220" s="263"/>
      <c r="V220" s="263"/>
      <c r="W220" s="263"/>
      <c r="X220" s="263"/>
      <c r="Y220" s="263"/>
      <c r="Z220" s="263"/>
      <c r="AA220" s="263"/>
      <c r="AB220" s="263"/>
      <c r="AC220" s="263"/>
      <c r="AD220" s="263"/>
      <c r="AE220" s="263"/>
      <c r="AF220" s="263"/>
      <c r="AG220" s="263"/>
      <c r="AH220" s="263"/>
      <c r="AI220" s="263"/>
      <c r="AJ220" s="263"/>
      <c r="AK220" s="263"/>
      <c r="AL220" s="263"/>
      <c r="AM220" s="263"/>
      <c r="AN220" s="263"/>
      <c r="AO220" s="263"/>
      <c r="AP220" s="263"/>
      <c r="AQ220" s="263"/>
      <c r="AR220" s="263"/>
      <c r="AS220" s="263"/>
      <c r="AT220" s="263"/>
      <c r="AU220" s="263"/>
      <c r="AV220" s="263"/>
      <c r="AW220" s="263"/>
      <c r="AX220" s="263"/>
      <c r="AY220" s="263"/>
      <c r="AZ220" s="263"/>
      <c r="BA220" s="263"/>
      <c r="BB220" s="263"/>
      <c r="BC220" s="263"/>
      <c r="BD220" s="263"/>
      <c r="BE220" s="263"/>
      <c r="BF220" s="263"/>
      <c r="BG220" s="263"/>
      <c r="BH220" s="263"/>
      <c r="BI220" s="263"/>
      <c r="BJ220" s="263"/>
      <c r="BK220" s="263"/>
      <c r="BL220" s="263"/>
      <c r="BM220" s="263"/>
      <c r="BN220" s="263"/>
      <c r="BO220" s="263"/>
      <c r="BP220" s="263"/>
      <c r="BQ220" s="263"/>
      <c r="BR220" s="263"/>
      <c r="BS220" s="263"/>
      <c r="BT220" s="263"/>
      <c r="BU220" s="263"/>
      <c r="BV220" s="263"/>
      <c r="BW220" s="263"/>
      <c r="BX220" s="263"/>
      <c r="BY220" s="263"/>
      <c r="BZ220" s="263"/>
      <c r="CA220" s="263"/>
      <c r="CB220" s="263"/>
      <c r="CC220" s="263"/>
      <c r="CD220" s="263"/>
      <c r="CE220" s="263"/>
      <c r="CF220" s="263"/>
      <c r="CG220" s="263"/>
      <c r="CH220" s="263"/>
      <c r="CI220" s="263"/>
      <c r="CJ220" s="263"/>
      <c r="CK220" s="263"/>
      <c r="CL220" s="263"/>
      <c r="CM220" s="263"/>
      <c r="CN220" s="263"/>
      <c r="CO220" s="263"/>
      <c r="CP220" s="263"/>
      <c r="CQ220" s="263"/>
      <c r="CR220" s="263"/>
      <c r="CS220" s="263"/>
      <c r="CT220" s="263"/>
      <c r="CU220" s="263"/>
      <c r="CV220" s="263"/>
      <c r="CW220" s="263"/>
      <c r="CX220" s="263"/>
      <c r="CY220" s="263"/>
      <c r="CZ220" s="263"/>
      <c r="DA220" s="263"/>
      <c r="DB220" s="263"/>
      <c r="DC220" s="263"/>
      <c r="DD220" s="263"/>
      <c r="DE220" s="263"/>
      <c r="DF220" s="263"/>
      <c r="DG220" s="263"/>
      <c r="DH220" s="263"/>
      <c r="DI220" s="263"/>
      <c r="DJ220" s="263"/>
      <c r="DK220" s="263"/>
      <c r="DL220" s="263"/>
      <c r="DM220" s="263"/>
      <c r="DN220" s="263"/>
      <c r="DO220" s="263"/>
      <c r="DP220" s="263"/>
      <c r="DQ220" s="263"/>
      <c r="DR220" s="263"/>
      <c r="DS220" s="263"/>
      <c r="DT220" s="263"/>
      <c r="DU220" s="263"/>
      <c r="DV220" s="263"/>
      <c r="DW220" s="263"/>
      <c r="DX220" s="263"/>
      <c r="DY220" s="263"/>
      <c r="DZ220" s="263"/>
      <c r="EA220" s="263"/>
      <c r="EB220" s="263"/>
      <c r="EC220" s="263"/>
      <c r="ED220" s="263"/>
      <c r="EE220" s="263"/>
      <c r="EF220" s="263"/>
      <c r="EG220" s="263"/>
      <c r="EH220" s="263"/>
      <c r="EI220" s="263"/>
      <c r="EJ220" s="263"/>
      <c r="EK220" s="263"/>
      <c r="EL220" s="263"/>
      <c r="EM220" s="263"/>
      <c r="EN220" s="263"/>
      <c r="EO220" s="263"/>
      <c r="EP220" s="263"/>
      <c r="EQ220" s="263"/>
      <c r="ER220" s="263"/>
      <c r="ES220" s="263"/>
      <c r="ET220" s="263"/>
      <c r="EU220" s="263"/>
      <c r="EV220" s="263"/>
      <c r="EW220" s="263"/>
      <c r="EX220" s="263"/>
      <c r="EY220" s="263"/>
      <c r="EZ220" s="263"/>
      <c r="FA220" s="263"/>
      <c r="FB220" s="263"/>
      <c r="FC220" s="263"/>
      <c r="FD220" s="263"/>
      <c r="FE220" s="263"/>
      <c r="FF220" s="263"/>
      <c r="FG220" s="263"/>
      <c r="FH220" s="263"/>
      <c r="FI220" s="263"/>
      <c r="FJ220" s="263"/>
      <c r="FK220" s="263"/>
      <c r="FL220" s="263"/>
      <c r="FM220" s="263"/>
      <c r="FN220" s="263"/>
      <c r="FO220" s="263"/>
      <c r="FP220" s="263"/>
      <c r="FQ220" s="263"/>
      <c r="FR220" s="263"/>
      <c r="FS220" s="263"/>
      <c r="FT220" s="263"/>
      <c r="FU220" s="263"/>
      <c r="FV220" s="263"/>
      <c r="FW220" s="263"/>
      <c r="FX220" s="263"/>
      <c r="FY220" s="263"/>
      <c r="FZ220" s="263"/>
      <c r="GA220" s="263"/>
      <c r="GB220" s="263"/>
      <c r="GC220" s="263"/>
      <c r="GD220" s="263"/>
      <c r="GE220" s="263"/>
      <c r="GF220" s="263"/>
      <c r="GG220" s="263"/>
      <c r="GH220" s="263"/>
      <c r="GI220" s="263"/>
      <c r="GJ220" s="263"/>
      <c r="GK220" s="263"/>
      <c r="GL220" s="263"/>
      <c r="GM220" s="263"/>
      <c r="GN220" s="263"/>
      <c r="GO220" s="263"/>
      <c r="GP220" s="263"/>
      <c r="GQ220" s="263"/>
      <c r="GR220" s="263"/>
      <c r="GS220" s="263"/>
      <c r="GT220" s="263"/>
      <c r="GU220" s="263"/>
      <c r="GV220" s="263"/>
      <c r="GW220" s="263"/>
      <c r="GX220" s="263"/>
      <c r="GY220" s="263"/>
      <c r="GZ220" s="263"/>
      <c r="HA220" s="263"/>
      <c r="HB220" s="263"/>
      <c r="HC220" s="263"/>
      <c r="HD220" s="263"/>
      <c r="HE220" s="263"/>
      <c r="HF220" s="263"/>
      <c r="HG220" s="263"/>
      <c r="HH220" s="263"/>
      <c r="HI220" s="263"/>
      <c r="HJ220" s="263"/>
      <c r="HK220" s="263"/>
      <c r="HL220" s="263"/>
      <c r="HM220" s="263"/>
      <c r="HN220" s="263"/>
      <c r="HO220" s="263"/>
      <c r="HP220" s="263"/>
      <c r="HQ220" s="263"/>
      <c r="HR220" s="263"/>
      <c r="HS220" s="263"/>
      <c r="HT220" s="263"/>
      <c r="HU220" s="263"/>
      <c r="HV220" s="263"/>
      <c r="HW220" s="263"/>
      <c r="HX220" s="263"/>
      <c r="HY220" s="263"/>
      <c r="HZ220" s="263"/>
      <c r="IA220" s="263"/>
      <c r="IB220" s="263"/>
      <c r="IC220" s="263"/>
      <c r="ID220" s="263"/>
      <c r="IE220" s="263"/>
      <c r="IF220" s="263"/>
      <c r="IG220" s="263"/>
      <c r="IH220" s="263"/>
      <c r="II220" s="263"/>
      <c r="IJ220" s="263"/>
      <c r="IK220" s="263"/>
      <c r="IL220" s="263"/>
      <c r="IM220" s="263"/>
      <c r="IN220" s="263"/>
      <c r="IO220" s="263"/>
      <c r="IP220" s="263"/>
      <c r="IQ220" s="263"/>
      <c r="IR220" s="263"/>
      <c r="IS220" s="263"/>
      <c r="IT220" s="263"/>
      <c r="IU220" s="263"/>
      <c r="IV220" s="263"/>
    </row>
    <row r="221" spans="1:256" s="281" customFormat="1" ht="15" customHeight="1" x14ac:dyDescent="0.3">
      <c r="A221" s="638">
        <v>37421129</v>
      </c>
      <c r="B221" s="638" t="s">
        <v>559</v>
      </c>
      <c r="C221" s="640">
        <v>5531.74</v>
      </c>
      <c r="D221" s="311"/>
      <c r="E221" s="305">
        <f>SUMIF(Adjustments!A:A,A221,Adjustments!C:C)</f>
        <v>0</v>
      </c>
      <c r="F221" s="642">
        <f t="shared" si="2"/>
        <v>5531.74</v>
      </c>
      <c r="G221" s="263" t="str">
        <f>VLOOKUP('Trial Balance'!$A221,'Code Allocation'!$A:$D,3,0)</f>
        <v>CRA</v>
      </c>
      <c r="H221" s="266" t="str">
        <f>VLOOKUP('Trial Balance'!$A221,'Code Allocation'!$A:$D,4,0)</f>
        <v>Parks, gardens &amp; open Spaces</v>
      </c>
      <c r="I221" s="267" t="str">
        <f>VLOOKUP('Trial Balance'!$A221,'Code Allocation'!$A:$E,5,0)</f>
        <v>Supplies and Services</v>
      </c>
      <c r="J221" s="268" t="str">
        <f>VLOOKUP('Trial Balance'!$A221,'Code Allocation'!$A:$F,6,0)</f>
        <v>Repairs &amp; Maintenance - Play Equipment</v>
      </c>
      <c r="K221" s="263"/>
      <c r="L221" s="263"/>
      <c r="M221" s="263"/>
      <c r="N221" s="263"/>
      <c r="O221" s="263"/>
      <c r="P221" s="263"/>
      <c r="Q221" s="263"/>
      <c r="R221" s="263"/>
      <c r="S221" s="263"/>
      <c r="T221" s="263"/>
      <c r="U221" s="263"/>
      <c r="V221" s="263"/>
      <c r="W221" s="263"/>
      <c r="X221" s="263"/>
      <c r="Y221" s="263"/>
      <c r="Z221" s="263"/>
      <c r="AA221" s="263"/>
      <c r="AB221" s="263"/>
      <c r="AC221" s="263"/>
      <c r="AD221" s="263"/>
      <c r="AE221" s="263"/>
      <c r="AF221" s="263"/>
      <c r="AG221" s="263"/>
      <c r="AH221" s="263"/>
      <c r="AI221" s="263"/>
      <c r="AJ221" s="263"/>
      <c r="AK221" s="263"/>
      <c r="AL221" s="263"/>
      <c r="AM221" s="263"/>
      <c r="AN221" s="263"/>
      <c r="AO221" s="263"/>
      <c r="AP221" s="263"/>
      <c r="AQ221" s="263"/>
      <c r="AR221" s="263"/>
      <c r="AS221" s="263"/>
      <c r="AT221" s="263"/>
      <c r="AU221" s="263"/>
      <c r="AV221" s="263"/>
      <c r="AW221" s="263"/>
      <c r="AX221" s="263"/>
      <c r="AY221" s="263"/>
      <c r="AZ221" s="263"/>
      <c r="BA221" s="263"/>
      <c r="BB221" s="263"/>
      <c r="BC221" s="263"/>
      <c r="BD221" s="263"/>
      <c r="BE221" s="263"/>
      <c r="BF221" s="263"/>
      <c r="BG221" s="263"/>
      <c r="BH221" s="263"/>
      <c r="BI221" s="263"/>
      <c r="BJ221" s="263"/>
      <c r="BK221" s="263"/>
      <c r="BL221" s="263"/>
      <c r="BM221" s="263"/>
      <c r="BN221" s="263"/>
      <c r="BO221" s="263"/>
      <c r="BP221" s="263"/>
      <c r="BQ221" s="263"/>
      <c r="BR221" s="263"/>
      <c r="BS221" s="263"/>
      <c r="BT221" s="263"/>
      <c r="BU221" s="263"/>
      <c r="BV221" s="263"/>
      <c r="BW221" s="263"/>
      <c r="BX221" s="263"/>
      <c r="BY221" s="263"/>
      <c r="BZ221" s="263"/>
      <c r="CA221" s="263"/>
      <c r="CB221" s="263"/>
      <c r="CC221" s="263"/>
      <c r="CD221" s="263"/>
      <c r="CE221" s="263"/>
      <c r="CF221" s="263"/>
      <c r="CG221" s="263"/>
      <c r="CH221" s="263"/>
      <c r="CI221" s="263"/>
      <c r="CJ221" s="263"/>
      <c r="CK221" s="263"/>
      <c r="CL221" s="263"/>
      <c r="CM221" s="263"/>
      <c r="CN221" s="263"/>
      <c r="CO221" s="263"/>
      <c r="CP221" s="263"/>
      <c r="CQ221" s="263"/>
      <c r="CR221" s="263"/>
      <c r="CS221" s="263"/>
      <c r="CT221" s="263"/>
      <c r="CU221" s="263"/>
      <c r="CV221" s="263"/>
      <c r="CW221" s="263"/>
      <c r="CX221" s="263"/>
      <c r="CY221" s="263"/>
      <c r="CZ221" s="263"/>
      <c r="DA221" s="263"/>
      <c r="DB221" s="263"/>
      <c r="DC221" s="263"/>
      <c r="DD221" s="263"/>
      <c r="DE221" s="263"/>
      <c r="DF221" s="263"/>
      <c r="DG221" s="263"/>
      <c r="DH221" s="263"/>
      <c r="DI221" s="263"/>
      <c r="DJ221" s="263"/>
      <c r="DK221" s="263"/>
      <c r="DL221" s="263"/>
      <c r="DM221" s="263"/>
      <c r="DN221" s="263"/>
      <c r="DO221" s="263"/>
      <c r="DP221" s="263"/>
      <c r="DQ221" s="263"/>
      <c r="DR221" s="263"/>
      <c r="DS221" s="263"/>
      <c r="DT221" s="263"/>
      <c r="DU221" s="263"/>
      <c r="DV221" s="263"/>
      <c r="DW221" s="263"/>
      <c r="DX221" s="263"/>
      <c r="DY221" s="263"/>
      <c r="DZ221" s="263"/>
      <c r="EA221" s="263"/>
      <c r="EB221" s="263"/>
      <c r="EC221" s="263"/>
      <c r="ED221" s="263"/>
      <c r="EE221" s="263"/>
      <c r="EF221" s="263"/>
      <c r="EG221" s="263"/>
      <c r="EH221" s="263"/>
      <c r="EI221" s="263"/>
      <c r="EJ221" s="263"/>
      <c r="EK221" s="263"/>
      <c r="EL221" s="263"/>
      <c r="EM221" s="263"/>
      <c r="EN221" s="263"/>
      <c r="EO221" s="263"/>
      <c r="EP221" s="263"/>
      <c r="EQ221" s="263"/>
      <c r="ER221" s="263"/>
      <c r="ES221" s="263"/>
      <c r="ET221" s="263"/>
      <c r="EU221" s="263"/>
      <c r="EV221" s="263"/>
      <c r="EW221" s="263"/>
      <c r="EX221" s="263"/>
      <c r="EY221" s="263"/>
      <c r="EZ221" s="263"/>
      <c r="FA221" s="263"/>
      <c r="FB221" s="263"/>
      <c r="FC221" s="263"/>
      <c r="FD221" s="263"/>
      <c r="FE221" s="263"/>
      <c r="FF221" s="263"/>
      <c r="FG221" s="263"/>
      <c r="FH221" s="263"/>
      <c r="FI221" s="263"/>
      <c r="FJ221" s="263"/>
      <c r="FK221" s="263"/>
      <c r="FL221" s="263"/>
      <c r="FM221" s="263"/>
      <c r="FN221" s="263"/>
      <c r="FO221" s="263"/>
      <c r="FP221" s="263"/>
      <c r="FQ221" s="263"/>
      <c r="FR221" s="263"/>
      <c r="FS221" s="263"/>
      <c r="FT221" s="263"/>
      <c r="FU221" s="263"/>
      <c r="FV221" s="263"/>
      <c r="FW221" s="263"/>
      <c r="FX221" s="263"/>
      <c r="FY221" s="263"/>
      <c r="FZ221" s="263"/>
      <c r="GA221" s="263"/>
      <c r="GB221" s="263"/>
      <c r="GC221" s="263"/>
      <c r="GD221" s="263"/>
      <c r="GE221" s="263"/>
      <c r="GF221" s="263"/>
      <c r="GG221" s="263"/>
      <c r="GH221" s="263"/>
      <c r="GI221" s="263"/>
      <c r="GJ221" s="263"/>
      <c r="GK221" s="263"/>
      <c r="GL221" s="263"/>
      <c r="GM221" s="263"/>
      <c r="GN221" s="263"/>
      <c r="GO221" s="263"/>
      <c r="GP221" s="263"/>
      <c r="GQ221" s="263"/>
      <c r="GR221" s="263"/>
      <c r="GS221" s="263"/>
      <c r="GT221" s="263"/>
      <c r="GU221" s="263"/>
      <c r="GV221" s="263"/>
      <c r="GW221" s="263"/>
      <c r="GX221" s="263"/>
      <c r="GY221" s="263"/>
      <c r="GZ221" s="263"/>
      <c r="HA221" s="263"/>
      <c r="HB221" s="263"/>
      <c r="HC221" s="263"/>
      <c r="HD221" s="263"/>
      <c r="HE221" s="263"/>
      <c r="HF221" s="263"/>
      <c r="HG221" s="263"/>
      <c r="HH221" s="263"/>
      <c r="HI221" s="263"/>
      <c r="HJ221" s="263"/>
      <c r="HK221" s="263"/>
      <c r="HL221" s="263"/>
      <c r="HM221" s="263"/>
      <c r="HN221" s="263"/>
      <c r="HO221" s="263"/>
      <c r="HP221" s="263"/>
      <c r="HQ221" s="263"/>
      <c r="HR221" s="263"/>
      <c r="HS221" s="263"/>
      <c r="HT221" s="263"/>
      <c r="HU221" s="263"/>
      <c r="HV221" s="263"/>
      <c r="HW221" s="263"/>
      <c r="HX221" s="263"/>
      <c r="HY221" s="263"/>
      <c r="HZ221" s="263"/>
      <c r="IA221" s="263"/>
      <c r="IB221" s="263"/>
      <c r="IC221" s="263"/>
      <c r="ID221" s="263"/>
      <c r="IE221" s="263"/>
      <c r="IF221" s="263"/>
      <c r="IG221" s="263"/>
      <c r="IH221" s="263"/>
      <c r="II221" s="263"/>
      <c r="IJ221" s="263"/>
      <c r="IK221" s="263"/>
      <c r="IL221" s="263"/>
      <c r="IM221" s="263"/>
      <c r="IN221" s="263"/>
      <c r="IO221" s="263"/>
      <c r="IP221" s="263"/>
      <c r="IQ221" s="263"/>
      <c r="IR221" s="263"/>
      <c r="IS221" s="263"/>
      <c r="IT221" s="263"/>
      <c r="IU221" s="263"/>
      <c r="IV221" s="263"/>
    </row>
    <row r="222" spans="1:256" s="279" customFormat="1" ht="15" customHeight="1" x14ac:dyDescent="0.3">
      <c r="A222" s="638">
        <v>37421131</v>
      </c>
      <c r="B222" s="638" t="s">
        <v>560</v>
      </c>
      <c r="C222" s="640">
        <v>1077.3</v>
      </c>
      <c r="D222" s="311"/>
      <c r="E222" s="305">
        <f>SUMIF(Adjustments!A:A,A222,Adjustments!C:C)</f>
        <v>0</v>
      </c>
      <c r="F222" s="639">
        <f t="shared" si="2"/>
        <v>1077.3</v>
      </c>
      <c r="G222" s="263" t="str">
        <f>VLOOKUP('Trial Balance'!$A222,'Code Allocation'!$A:$D,3,0)</f>
        <v>CRA</v>
      </c>
      <c r="H222" s="266" t="str">
        <f>VLOOKUP('Trial Balance'!$A222,'Code Allocation'!$A:$D,4,0)</f>
        <v>Parks, gardens &amp; open Spaces</v>
      </c>
      <c r="I222" s="267" t="str">
        <f>VLOOKUP('Trial Balance'!$A222,'Code Allocation'!$A:$E,5,0)</f>
        <v>Supplies and Services</v>
      </c>
      <c r="J222" s="268" t="str">
        <f>VLOOKUP('Trial Balance'!$A222,'Code Allocation'!$A:$F,6,0)</f>
        <v>Repairs &amp; Maintenance - Play Equipment</v>
      </c>
      <c r="K222" s="263"/>
      <c r="L222" s="263"/>
      <c r="M222" s="263"/>
      <c r="N222" s="263"/>
      <c r="O222" s="263"/>
      <c r="P222" s="263"/>
      <c r="Q222" s="263"/>
      <c r="R222" s="263"/>
      <c r="S222" s="263"/>
      <c r="T222" s="263"/>
      <c r="U222" s="263"/>
      <c r="V222" s="263"/>
      <c r="W222" s="263"/>
      <c r="X222" s="263"/>
      <c r="Y222" s="263"/>
      <c r="Z222" s="263"/>
      <c r="AA222" s="263"/>
      <c r="AB222" s="263"/>
      <c r="AC222" s="263"/>
      <c r="AD222" s="263"/>
      <c r="AE222" s="263"/>
      <c r="AF222" s="263"/>
      <c r="AG222" s="263"/>
      <c r="AH222" s="263"/>
      <c r="AI222" s="263"/>
      <c r="AJ222" s="263"/>
      <c r="AK222" s="263"/>
      <c r="AL222" s="263"/>
      <c r="AM222" s="263"/>
      <c r="AN222" s="263"/>
      <c r="AO222" s="263"/>
      <c r="AP222" s="263"/>
      <c r="AQ222" s="263"/>
      <c r="AR222" s="263"/>
      <c r="AS222" s="263"/>
      <c r="AT222" s="263"/>
      <c r="AU222" s="263"/>
      <c r="AV222" s="263"/>
      <c r="AW222" s="263"/>
      <c r="AX222" s="263"/>
      <c r="AY222" s="263"/>
      <c r="AZ222" s="263"/>
      <c r="BA222" s="263"/>
      <c r="BB222" s="263"/>
      <c r="BC222" s="263"/>
      <c r="BD222" s="263"/>
      <c r="BE222" s="263"/>
      <c r="BF222" s="263"/>
      <c r="BG222" s="263"/>
      <c r="BH222" s="263"/>
      <c r="BI222" s="263"/>
      <c r="BJ222" s="263"/>
      <c r="BK222" s="263"/>
      <c r="BL222" s="263"/>
      <c r="BM222" s="263"/>
      <c r="BN222" s="263"/>
      <c r="BO222" s="263"/>
      <c r="BP222" s="263"/>
      <c r="BQ222" s="263"/>
      <c r="BR222" s="263"/>
      <c r="BS222" s="263"/>
      <c r="BT222" s="263"/>
      <c r="BU222" s="263"/>
      <c r="BV222" s="263"/>
      <c r="BW222" s="263"/>
      <c r="BX222" s="263"/>
      <c r="BY222" s="263"/>
      <c r="BZ222" s="263"/>
      <c r="CA222" s="263"/>
      <c r="CB222" s="263"/>
      <c r="CC222" s="263"/>
      <c r="CD222" s="263"/>
      <c r="CE222" s="263"/>
      <c r="CF222" s="263"/>
      <c r="CG222" s="263"/>
      <c r="CH222" s="263"/>
      <c r="CI222" s="263"/>
      <c r="CJ222" s="263"/>
      <c r="CK222" s="263"/>
      <c r="CL222" s="263"/>
      <c r="CM222" s="263"/>
      <c r="CN222" s="263"/>
      <c r="CO222" s="263"/>
      <c r="CP222" s="263"/>
      <c r="CQ222" s="263"/>
      <c r="CR222" s="263"/>
      <c r="CS222" s="263"/>
      <c r="CT222" s="263"/>
      <c r="CU222" s="263"/>
      <c r="CV222" s="263"/>
      <c r="CW222" s="263"/>
      <c r="CX222" s="263"/>
      <c r="CY222" s="263"/>
      <c r="CZ222" s="263"/>
      <c r="DA222" s="263"/>
      <c r="DB222" s="263"/>
      <c r="DC222" s="263"/>
      <c r="DD222" s="263"/>
      <c r="DE222" s="263"/>
      <c r="DF222" s="263"/>
      <c r="DG222" s="263"/>
      <c r="DH222" s="263"/>
      <c r="DI222" s="263"/>
      <c r="DJ222" s="263"/>
      <c r="DK222" s="263"/>
      <c r="DL222" s="263"/>
      <c r="DM222" s="263"/>
      <c r="DN222" s="263"/>
      <c r="DO222" s="263"/>
      <c r="DP222" s="263"/>
      <c r="DQ222" s="263"/>
      <c r="DR222" s="263"/>
      <c r="DS222" s="263"/>
      <c r="DT222" s="263"/>
      <c r="DU222" s="263"/>
      <c r="DV222" s="263"/>
      <c r="DW222" s="263"/>
      <c r="DX222" s="263"/>
      <c r="DY222" s="263"/>
      <c r="DZ222" s="263"/>
      <c r="EA222" s="263"/>
      <c r="EB222" s="263"/>
      <c r="EC222" s="263"/>
      <c r="ED222" s="263"/>
      <c r="EE222" s="263"/>
      <c r="EF222" s="263"/>
      <c r="EG222" s="263"/>
      <c r="EH222" s="263"/>
      <c r="EI222" s="263"/>
      <c r="EJ222" s="263"/>
      <c r="EK222" s="263"/>
      <c r="EL222" s="263"/>
      <c r="EM222" s="263"/>
      <c r="EN222" s="263"/>
      <c r="EO222" s="263"/>
      <c r="EP222" s="263"/>
      <c r="EQ222" s="263"/>
      <c r="ER222" s="263"/>
      <c r="ES222" s="263"/>
      <c r="ET222" s="263"/>
      <c r="EU222" s="263"/>
      <c r="EV222" s="263"/>
      <c r="EW222" s="263"/>
      <c r="EX222" s="263"/>
      <c r="EY222" s="263"/>
      <c r="EZ222" s="263"/>
      <c r="FA222" s="263"/>
      <c r="FB222" s="263"/>
      <c r="FC222" s="263"/>
      <c r="FD222" s="263"/>
      <c r="FE222" s="263"/>
      <c r="FF222" s="263"/>
      <c r="FG222" s="263"/>
      <c r="FH222" s="263"/>
      <c r="FI222" s="263"/>
      <c r="FJ222" s="263"/>
      <c r="FK222" s="263"/>
      <c r="FL222" s="263"/>
      <c r="FM222" s="263"/>
      <c r="FN222" s="263"/>
      <c r="FO222" s="263"/>
      <c r="FP222" s="263"/>
      <c r="FQ222" s="263"/>
      <c r="FR222" s="263"/>
      <c r="FS222" s="263"/>
      <c r="FT222" s="263"/>
      <c r="FU222" s="263"/>
      <c r="FV222" s="263"/>
      <c r="FW222" s="263"/>
      <c r="FX222" s="263"/>
      <c r="FY222" s="263"/>
      <c r="FZ222" s="263"/>
      <c r="GA222" s="263"/>
      <c r="GB222" s="263"/>
      <c r="GC222" s="263"/>
      <c r="GD222" s="263"/>
      <c r="GE222" s="263"/>
      <c r="GF222" s="263"/>
      <c r="GG222" s="263"/>
      <c r="GH222" s="263"/>
      <c r="GI222" s="263"/>
      <c r="GJ222" s="263"/>
      <c r="GK222" s="263"/>
      <c r="GL222" s="263"/>
      <c r="GM222" s="263"/>
      <c r="GN222" s="263"/>
      <c r="GO222" s="263"/>
      <c r="GP222" s="263"/>
      <c r="GQ222" s="263"/>
      <c r="GR222" s="263"/>
      <c r="GS222" s="263"/>
      <c r="GT222" s="263"/>
      <c r="GU222" s="263"/>
      <c r="GV222" s="263"/>
      <c r="GW222" s="263"/>
      <c r="GX222" s="263"/>
      <c r="GY222" s="263"/>
      <c r="GZ222" s="263"/>
      <c r="HA222" s="263"/>
      <c r="HB222" s="263"/>
      <c r="HC222" s="263"/>
      <c r="HD222" s="263"/>
      <c r="HE222" s="263"/>
      <c r="HF222" s="263"/>
      <c r="HG222" s="263"/>
      <c r="HH222" s="263"/>
      <c r="HI222" s="263"/>
      <c r="HJ222" s="263"/>
      <c r="HK222" s="263"/>
      <c r="HL222" s="263"/>
      <c r="HM222" s="263"/>
      <c r="HN222" s="263"/>
      <c r="HO222" s="263"/>
      <c r="HP222" s="263"/>
      <c r="HQ222" s="263"/>
      <c r="HR222" s="263"/>
      <c r="HS222" s="263"/>
      <c r="HT222" s="263"/>
      <c r="HU222" s="263"/>
      <c r="HV222" s="263"/>
      <c r="HW222" s="263"/>
      <c r="HX222" s="263"/>
      <c r="HY222" s="263"/>
      <c r="HZ222" s="263"/>
      <c r="IA222" s="263"/>
      <c r="IB222" s="263"/>
      <c r="IC222" s="263"/>
      <c r="ID222" s="263"/>
      <c r="IE222" s="263"/>
      <c r="IF222" s="263"/>
      <c r="IG222" s="263"/>
      <c r="IH222" s="263"/>
      <c r="II222" s="263"/>
      <c r="IJ222" s="263"/>
      <c r="IK222" s="263"/>
      <c r="IL222" s="263"/>
      <c r="IM222" s="263"/>
      <c r="IN222" s="263"/>
      <c r="IO222" s="263"/>
      <c r="IP222" s="263"/>
      <c r="IQ222" s="263"/>
      <c r="IR222" s="263"/>
      <c r="IS222" s="263"/>
      <c r="IT222" s="263"/>
      <c r="IU222" s="263"/>
      <c r="IV222" s="263"/>
    </row>
    <row r="223" spans="1:256" ht="15" customHeight="1" x14ac:dyDescent="0.3">
      <c r="A223" s="638">
        <v>37421138</v>
      </c>
      <c r="B223" s="638" t="s">
        <v>561</v>
      </c>
      <c r="C223" s="638">
        <v>164.07</v>
      </c>
      <c r="D223" s="311"/>
      <c r="E223" s="305">
        <f>SUMIF(Adjustments!A:A,A223,Adjustments!C:C)</f>
        <v>0</v>
      </c>
      <c r="F223" s="278">
        <f t="shared" si="2"/>
        <v>164.07</v>
      </c>
      <c r="G223" s="263" t="str">
        <f>VLOOKUP('Trial Balance'!$A223,'Code Allocation'!$A:$D,3,0)</f>
        <v>CRA</v>
      </c>
      <c r="H223" s="266" t="str">
        <f>VLOOKUP('Trial Balance'!$A223,'Code Allocation'!$A:$D,4,0)</f>
        <v>Parks, gardens &amp; open Spaces</v>
      </c>
      <c r="I223" s="267" t="str">
        <f>VLOOKUP('Trial Balance'!$A223,'Code Allocation'!$A:$E,5,0)</f>
        <v>Supplies and Services</v>
      </c>
      <c r="J223" s="268" t="str">
        <f>VLOOKUP('Trial Balance'!$A223,'Code Allocation'!$A:$F,6,0)</f>
        <v>Repairs &amp; Maintenance - Play Equipment</v>
      </c>
    </row>
    <row r="224" spans="1:256" ht="15" customHeight="1" x14ac:dyDescent="0.3">
      <c r="A224" s="638">
        <v>37421199</v>
      </c>
      <c r="B224" s="638" t="s">
        <v>562</v>
      </c>
      <c r="C224" s="638">
        <v>835.9</v>
      </c>
      <c r="D224" s="311"/>
      <c r="E224" s="305">
        <f>SUMIF(Adjustments!A:A,A224,Adjustments!C:C)</f>
        <v>0</v>
      </c>
      <c r="F224" s="280">
        <f t="shared" si="2"/>
        <v>835.9</v>
      </c>
      <c r="G224" s="263" t="str">
        <f>VLOOKUP('Trial Balance'!$A224,'Code Allocation'!$A:$D,3,0)</f>
        <v>CRA</v>
      </c>
      <c r="H224" s="266" t="str">
        <f>VLOOKUP('Trial Balance'!$A224,'Code Allocation'!$A:$D,4,0)</f>
        <v>Parks, gardens &amp; open Spaces</v>
      </c>
      <c r="I224" s="267" t="str">
        <f>VLOOKUP('Trial Balance'!$A224,'Code Allocation'!$A:$E,5,0)</f>
        <v>Supplies and Services</v>
      </c>
      <c r="J224" s="268" t="str">
        <f>VLOOKUP('Trial Balance'!$A224,'Code Allocation'!$A:$F,6,0)</f>
        <v>Repairs &amp; Maintenance - Play Equipment</v>
      </c>
    </row>
    <row r="225" spans="1:256" ht="15" customHeight="1" x14ac:dyDescent="0.3">
      <c r="A225" s="638">
        <v>37421220</v>
      </c>
      <c r="B225" s="638" t="s">
        <v>563</v>
      </c>
      <c r="C225" s="640">
        <v>3247.61</v>
      </c>
      <c r="D225" s="311"/>
      <c r="E225" s="305">
        <f>SUMIF(Adjustments!A:A,A225,Adjustments!C:C)</f>
        <v>0</v>
      </c>
      <c r="F225" s="280">
        <f t="shared" si="2"/>
        <v>3247.61</v>
      </c>
      <c r="G225" s="263" t="str">
        <f>VLOOKUP('Trial Balance'!$A225,'Code Allocation'!$A:$D,3,0)</f>
        <v>CRA</v>
      </c>
      <c r="H225" s="266" t="str">
        <f>VLOOKUP('Trial Balance'!$A225,'Code Allocation'!$A:$D,4,0)</f>
        <v>Parks, gardens &amp; open Spaces</v>
      </c>
      <c r="I225" s="267" t="str">
        <f>VLOOKUP('Trial Balance'!$A225,'Code Allocation'!$A:$E,5,0)</f>
        <v>Supplies and Services</v>
      </c>
      <c r="J225" s="268" t="str">
        <f>VLOOKUP('Trial Balance'!$A225,'Code Allocation'!$A:$F,6,0)</f>
        <v>Repairs &amp; Maintenance - Gardens/Amenity Areas</v>
      </c>
    </row>
    <row r="226" spans="1:256" ht="15" customHeight="1" x14ac:dyDescent="0.3">
      <c r="A226" s="638">
        <v>37421225</v>
      </c>
      <c r="B226" s="638" t="s">
        <v>564</v>
      </c>
      <c r="C226" s="638">
        <v>194.76</v>
      </c>
      <c r="D226" s="311"/>
      <c r="E226" s="305">
        <f>SUMIF(Adjustments!A:A,A226,Adjustments!C:C)</f>
        <v>0</v>
      </c>
      <c r="F226" s="280">
        <f t="shared" si="2"/>
        <v>194.76</v>
      </c>
      <c r="G226" s="263" t="str">
        <f>VLOOKUP('Trial Balance'!$A226,'Code Allocation'!$A:$D,3,0)</f>
        <v>CRA</v>
      </c>
      <c r="H226" s="266" t="str">
        <f>VLOOKUP('Trial Balance'!$A226,'Code Allocation'!$A:$D,4,0)</f>
        <v>Parks, gardens &amp; open Spaces</v>
      </c>
      <c r="I226" s="267" t="str">
        <f>VLOOKUP('Trial Balance'!$A226,'Code Allocation'!$A:$E,5,0)</f>
        <v>Supplies and Services</v>
      </c>
      <c r="J226" s="268" t="str">
        <f>VLOOKUP('Trial Balance'!$A226,'Code Allocation'!$A:$F,6,0)</f>
        <v>Repairs &amp; Maintenance - Gardens/Amenity Areas</v>
      </c>
    </row>
    <row r="227" spans="1:256" s="281" customFormat="1" ht="15" customHeight="1" x14ac:dyDescent="0.3">
      <c r="A227" s="638">
        <v>37421326</v>
      </c>
      <c r="B227" s="638" t="s">
        <v>565</v>
      </c>
      <c r="C227" s="638">
        <v>308.67</v>
      </c>
      <c r="D227" s="311"/>
      <c r="E227" s="305">
        <f>SUMIF(Adjustments!A:A,A227,Adjustments!C:C)</f>
        <v>0</v>
      </c>
      <c r="F227" s="280">
        <f t="shared" si="2"/>
        <v>308.67</v>
      </c>
      <c r="G227" s="263" t="str">
        <f>VLOOKUP('Trial Balance'!$A227,'Code Allocation'!$A:$D,3,0)</f>
        <v>CRA</v>
      </c>
      <c r="H227" s="266" t="str">
        <f>VLOOKUP('Trial Balance'!$A227,'Code Allocation'!$A:$D,4,0)</f>
        <v>Parks, gardens &amp; open Spaces</v>
      </c>
      <c r="I227" s="267" t="str">
        <f>VLOOKUP('Trial Balance'!$A227,'Code Allocation'!$A:$E,5,0)</f>
        <v>Supplies and Services</v>
      </c>
      <c r="J227" s="268" t="str">
        <f>VLOOKUP('Trial Balance'!$A227,'Code Allocation'!$A:$F,6,0)</f>
        <v>Repairs &amp; Maintenance - Gardens/Amenity Areas</v>
      </c>
      <c r="K227" s="263"/>
      <c r="L227" s="263"/>
      <c r="M227" s="263"/>
      <c r="N227" s="263"/>
      <c r="O227" s="263"/>
      <c r="P227" s="263"/>
      <c r="Q227" s="263"/>
      <c r="R227" s="263"/>
      <c r="S227" s="263"/>
      <c r="T227" s="263"/>
      <c r="U227" s="263"/>
      <c r="V227" s="263"/>
      <c r="W227" s="263"/>
      <c r="X227" s="263"/>
      <c r="Y227" s="263"/>
      <c r="Z227" s="263"/>
      <c r="AA227" s="263"/>
      <c r="AB227" s="263"/>
      <c r="AC227" s="263"/>
      <c r="AD227" s="263"/>
      <c r="AE227" s="263"/>
      <c r="AF227" s="263"/>
      <c r="AG227" s="263"/>
      <c r="AH227" s="263"/>
      <c r="AI227" s="263"/>
      <c r="AJ227" s="263"/>
      <c r="AK227" s="263"/>
      <c r="AL227" s="263"/>
      <c r="AM227" s="263"/>
      <c r="AN227" s="263"/>
      <c r="AO227" s="263"/>
      <c r="AP227" s="263"/>
      <c r="AQ227" s="263"/>
      <c r="AR227" s="263"/>
      <c r="AS227" s="263"/>
      <c r="AT227" s="263"/>
      <c r="AU227" s="263"/>
      <c r="AV227" s="263"/>
      <c r="AW227" s="263"/>
      <c r="AX227" s="263"/>
      <c r="AY227" s="263"/>
      <c r="AZ227" s="263"/>
      <c r="BA227" s="263"/>
      <c r="BB227" s="263"/>
      <c r="BC227" s="263"/>
      <c r="BD227" s="263"/>
      <c r="BE227" s="263"/>
      <c r="BF227" s="263"/>
      <c r="BG227" s="263"/>
      <c r="BH227" s="263"/>
      <c r="BI227" s="263"/>
      <c r="BJ227" s="263"/>
      <c r="BK227" s="263"/>
      <c r="BL227" s="263"/>
      <c r="BM227" s="263"/>
      <c r="BN227" s="263"/>
      <c r="BO227" s="263"/>
      <c r="BP227" s="263"/>
      <c r="BQ227" s="263"/>
      <c r="BR227" s="263"/>
      <c r="BS227" s="263"/>
      <c r="BT227" s="263"/>
      <c r="BU227" s="263"/>
      <c r="BV227" s="263"/>
      <c r="BW227" s="263"/>
      <c r="BX227" s="263"/>
      <c r="BY227" s="263"/>
      <c r="BZ227" s="263"/>
      <c r="CA227" s="263"/>
      <c r="CB227" s="263"/>
      <c r="CC227" s="263"/>
      <c r="CD227" s="263"/>
      <c r="CE227" s="263"/>
      <c r="CF227" s="263"/>
      <c r="CG227" s="263"/>
      <c r="CH227" s="263"/>
      <c r="CI227" s="263"/>
      <c r="CJ227" s="263"/>
      <c r="CK227" s="263"/>
      <c r="CL227" s="263"/>
      <c r="CM227" s="263"/>
      <c r="CN227" s="263"/>
      <c r="CO227" s="263"/>
      <c r="CP227" s="263"/>
      <c r="CQ227" s="263"/>
      <c r="CR227" s="263"/>
      <c r="CS227" s="263"/>
      <c r="CT227" s="263"/>
      <c r="CU227" s="263"/>
      <c r="CV227" s="263"/>
      <c r="CW227" s="263"/>
      <c r="CX227" s="263"/>
      <c r="CY227" s="263"/>
      <c r="CZ227" s="263"/>
      <c r="DA227" s="263"/>
      <c r="DB227" s="263"/>
      <c r="DC227" s="263"/>
      <c r="DD227" s="263"/>
      <c r="DE227" s="263"/>
      <c r="DF227" s="263"/>
      <c r="DG227" s="263"/>
      <c r="DH227" s="263"/>
      <c r="DI227" s="263"/>
      <c r="DJ227" s="263"/>
      <c r="DK227" s="263"/>
      <c r="DL227" s="263"/>
      <c r="DM227" s="263"/>
      <c r="DN227" s="263"/>
      <c r="DO227" s="263"/>
      <c r="DP227" s="263"/>
      <c r="DQ227" s="263"/>
      <c r="DR227" s="263"/>
      <c r="DS227" s="263"/>
      <c r="DT227" s="263"/>
      <c r="DU227" s="263"/>
      <c r="DV227" s="263"/>
      <c r="DW227" s="263"/>
      <c r="DX227" s="263"/>
      <c r="DY227" s="263"/>
      <c r="DZ227" s="263"/>
      <c r="EA227" s="263"/>
      <c r="EB227" s="263"/>
      <c r="EC227" s="263"/>
      <c r="ED227" s="263"/>
      <c r="EE227" s="263"/>
      <c r="EF227" s="263"/>
      <c r="EG227" s="263"/>
      <c r="EH227" s="263"/>
      <c r="EI227" s="263"/>
      <c r="EJ227" s="263"/>
      <c r="EK227" s="263"/>
      <c r="EL227" s="263"/>
      <c r="EM227" s="263"/>
      <c r="EN227" s="263"/>
      <c r="EO227" s="263"/>
      <c r="EP227" s="263"/>
      <c r="EQ227" s="263"/>
      <c r="ER227" s="263"/>
      <c r="ES227" s="263"/>
      <c r="ET227" s="263"/>
      <c r="EU227" s="263"/>
      <c r="EV227" s="263"/>
      <c r="EW227" s="263"/>
      <c r="EX227" s="263"/>
      <c r="EY227" s="263"/>
      <c r="EZ227" s="263"/>
      <c r="FA227" s="263"/>
      <c r="FB227" s="263"/>
      <c r="FC227" s="263"/>
      <c r="FD227" s="263"/>
      <c r="FE227" s="263"/>
      <c r="FF227" s="263"/>
      <c r="FG227" s="263"/>
      <c r="FH227" s="263"/>
      <c r="FI227" s="263"/>
      <c r="FJ227" s="263"/>
      <c r="FK227" s="263"/>
      <c r="FL227" s="263"/>
      <c r="FM227" s="263"/>
      <c r="FN227" s="263"/>
      <c r="FO227" s="263"/>
      <c r="FP227" s="263"/>
      <c r="FQ227" s="263"/>
      <c r="FR227" s="263"/>
      <c r="FS227" s="263"/>
      <c r="FT227" s="263"/>
      <c r="FU227" s="263"/>
      <c r="FV227" s="263"/>
      <c r="FW227" s="263"/>
      <c r="FX227" s="263"/>
      <c r="FY227" s="263"/>
      <c r="FZ227" s="263"/>
      <c r="GA227" s="263"/>
      <c r="GB227" s="263"/>
      <c r="GC227" s="263"/>
      <c r="GD227" s="263"/>
      <c r="GE227" s="263"/>
      <c r="GF227" s="263"/>
      <c r="GG227" s="263"/>
      <c r="GH227" s="263"/>
      <c r="GI227" s="263"/>
      <c r="GJ227" s="263"/>
      <c r="GK227" s="263"/>
      <c r="GL227" s="263"/>
      <c r="GM227" s="263"/>
      <c r="GN227" s="263"/>
      <c r="GO227" s="263"/>
      <c r="GP227" s="263"/>
      <c r="GQ227" s="263"/>
      <c r="GR227" s="263"/>
      <c r="GS227" s="263"/>
      <c r="GT227" s="263"/>
      <c r="GU227" s="263"/>
      <c r="GV227" s="263"/>
      <c r="GW227" s="263"/>
      <c r="GX227" s="263"/>
      <c r="GY227" s="263"/>
      <c r="GZ227" s="263"/>
      <c r="HA227" s="263"/>
      <c r="HB227" s="263"/>
      <c r="HC227" s="263"/>
      <c r="HD227" s="263"/>
      <c r="HE227" s="263"/>
      <c r="HF227" s="263"/>
      <c r="HG227" s="263"/>
      <c r="HH227" s="263"/>
      <c r="HI227" s="263"/>
      <c r="HJ227" s="263"/>
      <c r="HK227" s="263"/>
      <c r="HL227" s="263"/>
      <c r="HM227" s="263"/>
      <c r="HN227" s="263"/>
      <c r="HO227" s="263"/>
      <c r="HP227" s="263"/>
      <c r="HQ227" s="263"/>
      <c r="HR227" s="263"/>
      <c r="HS227" s="263"/>
      <c r="HT227" s="263"/>
      <c r="HU227" s="263"/>
      <c r="HV227" s="263"/>
      <c r="HW227" s="263"/>
      <c r="HX227" s="263"/>
      <c r="HY227" s="263"/>
      <c r="HZ227" s="263"/>
      <c r="IA227" s="263"/>
      <c r="IB227" s="263"/>
      <c r="IC227" s="263"/>
      <c r="ID227" s="263"/>
      <c r="IE227" s="263"/>
      <c r="IF227" s="263"/>
      <c r="IG227" s="263"/>
      <c r="IH227" s="263"/>
      <c r="II227" s="263"/>
      <c r="IJ227" s="263"/>
      <c r="IK227" s="263"/>
      <c r="IL227" s="263"/>
      <c r="IM227" s="263"/>
      <c r="IN227" s="263"/>
      <c r="IO227" s="263"/>
      <c r="IP227" s="263"/>
      <c r="IQ227" s="263"/>
      <c r="IR227" s="263"/>
      <c r="IS227" s="263"/>
      <c r="IT227" s="263"/>
      <c r="IU227" s="263"/>
      <c r="IV227" s="263"/>
    </row>
    <row r="228" spans="1:256" s="281" customFormat="1" ht="15" customHeight="1" x14ac:dyDescent="0.3">
      <c r="A228" s="638">
        <v>37421399</v>
      </c>
      <c r="B228" s="638" t="s">
        <v>566</v>
      </c>
      <c r="C228" s="638">
        <v>617.34</v>
      </c>
      <c r="D228" s="311"/>
      <c r="E228" s="305">
        <f>SUMIF(Adjustments!A:A,A228,Adjustments!C:C)</f>
        <v>0</v>
      </c>
      <c r="F228" s="280">
        <f t="shared" si="2"/>
        <v>617.34</v>
      </c>
      <c r="G228" s="263" t="str">
        <f>VLOOKUP('Trial Balance'!$A228,'Code Allocation'!$A:$D,3,0)</f>
        <v>CRA</v>
      </c>
      <c r="H228" s="266" t="str">
        <f>VLOOKUP('Trial Balance'!$A228,'Code Allocation'!$A:$D,4,0)</f>
        <v>Parks, gardens &amp; open Spaces</v>
      </c>
      <c r="I228" s="267" t="str">
        <f>VLOOKUP('Trial Balance'!$A228,'Code Allocation'!$A:$E,5,0)</f>
        <v>Supplies and Services</v>
      </c>
      <c r="J228" s="268" t="str">
        <f>VLOOKUP('Trial Balance'!$A228,'Code Allocation'!$A:$F,6,0)</f>
        <v>Repairs &amp; Maintenance - Gardens/Amenity Areas</v>
      </c>
      <c r="K228" s="263"/>
      <c r="L228" s="263"/>
      <c r="M228" s="263"/>
      <c r="N228" s="263"/>
      <c r="O228" s="263"/>
      <c r="P228" s="263"/>
      <c r="Q228" s="263"/>
      <c r="R228" s="263"/>
      <c r="S228" s="263"/>
      <c r="T228" s="263"/>
      <c r="U228" s="263"/>
      <c r="V228" s="263"/>
      <c r="W228" s="263"/>
      <c r="X228" s="263"/>
      <c r="Y228" s="263"/>
      <c r="Z228" s="263"/>
      <c r="AA228" s="263"/>
      <c r="AB228" s="263"/>
      <c r="AC228" s="263"/>
      <c r="AD228" s="263"/>
      <c r="AE228" s="263"/>
      <c r="AF228" s="263"/>
      <c r="AG228" s="263"/>
      <c r="AH228" s="263"/>
      <c r="AI228" s="263"/>
      <c r="AJ228" s="263"/>
      <c r="AK228" s="263"/>
      <c r="AL228" s="263"/>
      <c r="AM228" s="263"/>
      <c r="AN228" s="263"/>
      <c r="AO228" s="263"/>
      <c r="AP228" s="263"/>
      <c r="AQ228" s="263"/>
      <c r="AR228" s="263"/>
      <c r="AS228" s="263"/>
      <c r="AT228" s="263"/>
      <c r="AU228" s="263"/>
      <c r="AV228" s="263"/>
      <c r="AW228" s="263"/>
      <c r="AX228" s="263"/>
      <c r="AY228" s="263"/>
      <c r="AZ228" s="263"/>
      <c r="BA228" s="263"/>
      <c r="BB228" s="263"/>
      <c r="BC228" s="263"/>
      <c r="BD228" s="263"/>
      <c r="BE228" s="263"/>
      <c r="BF228" s="263"/>
      <c r="BG228" s="263"/>
      <c r="BH228" s="263"/>
      <c r="BI228" s="263"/>
      <c r="BJ228" s="263"/>
      <c r="BK228" s="263"/>
      <c r="BL228" s="263"/>
      <c r="BM228" s="263"/>
      <c r="BN228" s="263"/>
      <c r="BO228" s="263"/>
      <c r="BP228" s="263"/>
      <c r="BQ228" s="263"/>
      <c r="BR228" s="263"/>
      <c r="BS228" s="263"/>
      <c r="BT228" s="263"/>
      <c r="BU228" s="263"/>
      <c r="BV228" s="263"/>
      <c r="BW228" s="263"/>
      <c r="BX228" s="263"/>
      <c r="BY228" s="263"/>
      <c r="BZ228" s="263"/>
      <c r="CA228" s="263"/>
      <c r="CB228" s="263"/>
      <c r="CC228" s="263"/>
      <c r="CD228" s="263"/>
      <c r="CE228" s="263"/>
      <c r="CF228" s="263"/>
      <c r="CG228" s="263"/>
      <c r="CH228" s="263"/>
      <c r="CI228" s="263"/>
      <c r="CJ228" s="263"/>
      <c r="CK228" s="263"/>
      <c r="CL228" s="263"/>
      <c r="CM228" s="263"/>
      <c r="CN228" s="263"/>
      <c r="CO228" s="263"/>
      <c r="CP228" s="263"/>
      <c r="CQ228" s="263"/>
      <c r="CR228" s="263"/>
      <c r="CS228" s="263"/>
      <c r="CT228" s="263"/>
      <c r="CU228" s="263"/>
      <c r="CV228" s="263"/>
      <c r="CW228" s="263"/>
      <c r="CX228" s="263"/>
      <c r="CY228" s="263"/>
      <c r="CZ228" s="263"/>
      <c r="DA228" s="263"/>
      <c r="DB228" s="263"/>
      <c r="DC228" s="263"/>
      <c r="DD228" s="263"/>
      <c r="DE228" s="263"/>
      <c r="DF228" s="263"/>
      <c r="DG228" s="263"/>
      <c r="DH228" s="263"/>
      <c r="DI228" s="263"/>
      <c r="DJ228" s="263"/>
      <c r="DK228" s="263"/>
      <c r="DL228" s="263"/>
      <c r="DM228" s="263"/>
      <c r="DN228" s="263"/>
      <c r="DO228" s="263"/>
      <c r="DP228" s="263"/>
      <c r="DQ228" s="263"/>
      <c r="DR228" s="263"/>
      <c r="DS228" s="263"/>
      <c r="DT228" s="263"/>
      <c r="DU228" s="263"/>
      <c r="DV228" s="263"/>
      <c r="DW228" s="263"/>
      <c r="DX228" s="263"/>
      <c r="DY228" s="263"/>
      <c r="DZ228" s="263"/>
      <c r="EA228" s="263"/>
      <c r="EB228" s="263"/>
      <c r="EC228" s="263"/>
      <c r="ED228" s="263"/>
      <c r="EE228" s="263"/>
      <c r="EF228" s="263"/>
      <c r="EG228" s="263"/>
      <c r="EH228" s="263"/>
      <c r="EI228" s="263"/>
      <c r="EJ228" s="263"/>
      <c r="EK228" s="263"/>
      <c r="EL228" s="263"/>
      <c r="EM228" s="263"/>
      <c r="EN228" s="263"/>
      <c r="EO228" s="263"/>
      <c r="EP228" s="263"/>
      <c r="EQ228" s="263"/>
      <c r="ER228" s="263"/>
      <c r="ES228" s="263"/>
      <c r="ET228" s="263"/>
      <c r="EU228" s="263"/>
      <c r="EV228" s="263"/>
      <c r="EW228" s="263"/>
      <c r="EX228" s="263"/>
      <c r="EY228" s="263"/>
      <c r="EZ228" s="263"/>
      <c r="FA228" s="263"/>
      <c r="FB228" s="263"/>
      <c r="FC228" s="263"/>
      <c r="FD228" s="263"/>
      <c r="FE228" s="263"/>
      <c r="FF228" s="263"/>
      <c r="FG228" s="263"/>
      <c r="FH228" s="263"/>
      <c r="FI228" s="263"/>
      <c r="FJ228" s="263"/>
      <c r="FK228" s="263"/>
      <c r="FL228" s="263"/>
      <c r="FM228" s="263"/>
      <c r="FN228" s="263"/>
      <c r="FO228" s="263"/>
      <c r="FP228" s="263"/>
      <c r="FQ228" s="263"/>
      <c r="FR228" s="263"/>
      <c r="FS228" s="263"/>
      <c r="FT228" s="263"/>
      <c r="FU228" s="263"/>
      <c r="FV228" s="263"/>
      <c r="FW228" s="263"/>
      <c r="FX228" s="263"/>
      <c r="FY228" s="263"/>
      <c r="FZ228" s="263"/>
      <c r="GA228" s="263"/>
      <c r="GB228" s="263"/>
      <c r="GC228" s="263"/>
      <c r="GD228" s="263"/>
      <c r="GE228" s="263"/>
      <c r="GF228" s="263"/>
      <c r="GG228" s="263"/>
      <c r="GH228" s="263"/>
      <c r="GI228" s="263"/>
      <c r="GJ228" s="263"/>
      <c r="GK228" s="263"/>
      <c r="GL228" s="263"/>
      <c r="GM228" s="263"/>
      <c r="GN228" s="263"/>
      <c r="GO228" s="263"/>
      <c r="GP228" s="263"/>
      <c r="GQ228" s="263"/>
      <c r="GR228" s="263"/>
      <c r="GS228" s="263"/>
      <c r="GT228" s="263"/>
      <c r="GU228" s="263"/>
      <c r="GV228" s="263"/>
      <c r="GW228" s="263"/>
      <c r="GX228" s="263"/>
      <c r="GY228" s="263"/>
      <c r="GZ228" s="263"/>
      <c r="HA228" s="263"/>
      <c r="HB228" s="263"/>
      <c r="HC228" s="263"/>
      <c r="HD228" s="263"/>
      <c r="HE228" s="263"/>
      <c r="HF228" s="263"/>
      <c r="HG228" s="263"/>
      <c r="HH228" s="263"/>
      <c r="HI228" s="263"/>
      <c r="HJ228" s="263"/>
      <c r="HK228" s="263"/>
      <c r="HL228" s="263"/>
      <c r="HM228" s="263"/>
      <c r="HN228" s="263"/>
      <c r="HO228" s="263"/>
      <c r="HP228" s="263"/>
      <c r="HQ228" s="263"/>
      <c r="HR228" s="263"/>
      <c r="HS228" s="263"/>
      <c r="HT228" s="263"/>
      <c r="HU228" s="263"/>
      <c r="HV228" s="263"/>
      <c r="HW228" s="263"/>
      <c r="HX228" s="263"/>
      <c r="HY228" s="263"/>
      <c r="HZ228" s="263"/>
      <c r="IA228" s="263"/>
      <c r="IB228" s="263"/>
      <c r="IC228" s="263"/>
      <c r="ID228" s="263"/>
      <c r="IE228" s="263"/>
      <c r="IF228" s="263"/>
      <c r="IG228" s="263"/>
      <c r="IH228" s="263"/>
      <c r="II228" s="263"/>
      <c r="IJ228" s="263"/>
      <c r="IK228" s="263"/>
      <c r="IL228" s="263"/>
      <c r="IM228" s="263"/>
      <c r="IN228" s="263"/>
      <c r="IO228" s="263"/>
      <c r="IP228" s="263"/>
      <c r="IQ228" s="263"/>
      <c r="IR228" s="263"/>
      <c r="IS228" s="263"/>
      <c r="IT228" s="263"/>
      <c r="IU228" s="263"/>
      <c r="IV228" s="263"/>
    </row>
    <row r="229" spans="1:256" s="279" customFormat="1" ht="15" customHeight="1" x14ac:dyDescent="0.3">
      <c r="A229" s="638">
        <v>37421420</v>
      </c>
      <c r="B229" s="638" t="s">
        <v>567</v>
      </c>
      <c r="C229" s="638">
        <v>78.540000000000006</v>
      </c>
      <c r="D229" s="311"/>
      <c r="E229" s="305">
        <f>SUMIF(Adjustments!A:A,A229,Adjustments!C:C)</f>
        <v>0</v>
      </c>
      <c r="F229" s="280">
        <f t="shared" si="2"/>
        <v>78.540000000000006</v>
      </c>
      <c r="G229" s="263" t="str">
        <f>VLOOKUP('Trial Balance'!$A229,'Code Allocation'!$A:$D,3,0)</f>
        <v>CRA</v>
      </c>
      <c r="H229" s="266" t="str">
        <f>VLOOKUP('Trial Balance'!$A229,'Code Allocation'!$A:$D,4,0)</f>
        <v>Parks, gardens &amp; open Spaces</v>
      </c>
      <c r="I229" s="267" t="str">
        <f>VLOOKUP('Trial Balance'!$A229,'Code Allocation'!$A:$E,5,0)</f>
        <v>Supplies and Services</v>
      </c>
      <c r="J229" s="268" t="str">
        <f>VLOOKUP('Trial Balance'!$A229,'Code Allocation'!$A:$F,6,0)</f>
        <v>Repairs &amp; Maintenance - Gardens/Amenity Areas</v>
      </c>
      <c r="K229" s="263"/>
      <c r="L229" s="263"/>
      <c r="M229" s="263"/>
      <c r="N229" s="263"/>
      <c r="O229" s="263"/>
      <c r="P229" s="263"/>
      <c r="Q229" s="263"/>
      <c r="R229" s="263"/>
      <c r="S229" s="263"/>
      <c r="T229" s="263"/>
      <c r="U229" s="263"/>
      <c r="V229" s="263"/>
      <c r="W229" s="263"/>
      <c r="X229" s="263"/>
      <c r="Y229" s="263"/>
      <c r="Z229" s="263"/>
      <c r="AA229" s="263"/>
      <c r="AB229" s="263"/>
      <c r="AC229" s="263"/>
      <c r="AD229" s="263"/>
      <c r="AE229" s="263"/>
      <c r="AF229" s="263"/>
      <c r="AG229" s="263"/>
      <c r="AH229" s="263"/>
      <c r="AI229" s="263"/>
      <c r="AJ229" s="263"/>
      <c r="AK229" s="263"/>
      <c r="AL229" s="263"/>
      <c r="AM229" s="263"/>
      <c r="AN229" s="263"/>
      <c r="AO229" s="263"/>
      <c r="AP229" s="263"/>
      <c r="AQ229" s="263"/>
      <c r="AR229" s="263"/>
      <c r="AS229" s="263"/>
      <c r="AT229" s="263"/>
      <c r="AU229" s="263"/>
      <c r="AV229" s="263"/>
      <c r="AW229" s="263"/>
      <c r="AX229" s="263"/>
      <c r="AY229" s="263"/>
      <c r="AZ229" s="263"/>
      <c r="BA229" s="263"/>
      <c r="BB229" s="263"/>
      <c r="BC229" s="263"/>
      <c r="BD229" s="263"/>
      <c r="BE229" s="263"/>
      <c r="BF229" s="263"/>
      <c r="BG229" s="263"/>
      <c r="BH229" s="263"/>
      <c r="BI229" s="263"/>
      <c r="BJ229" s="263"/>
      <c r="BK229" s="263"/>
      <c r="BL229" s="263"/>
      <c r="BM229" s="263"/>
      <c r="BN229" s="263"/>
      <c r="BO229" s="263"/>
      <c r="BP229" s="263"/>
      <c r="BQ229" s="263"/>
      <c r="BR229" s="263"/>
      <c r="BS229" s="263"/>
      <c r="BT229" s="263"/>
      <c r="BU229" s="263"/>
      <c r="BV229" s="263"/>
      <c r="BW229" s="263"/>
      <c r="BX229" s="263"/>
      <c r="BY229" s="263"/>
      <c r="BZ229" s="263"/>
      <c r="CA229" s="263"/>
      <c r="CB229" s="263"/>
      <c r="CC229" s="263"/>
      <c r="CD229" s="263"/>
      <c r="CE229" s="263"/>
      <c r="CF229" s="263"/>
      <c r="CG229" s="263"/>
      <c r="CH229" s="263"/>
      <c r="CI229" s="263"/>
      <c r="CJ229" s="263"/>
      <c r="CK229" s="263"/>
      <c r="CL229" s="263"/>
      <c r="CM229" s="263"/>
      <c r="CN229" s="263"/>
      <c r="CO229" s="263"/>
      <c r="CP229" s="263"/>
      <c r="CQ229" s="263"/>
      <c r="CR229" s="263"/>
      <c r="CS229" s="263"/>
      <c r="CT229" s="263"/>
      <c r="CU229" s="263"/>
      <c r="CV229" s="263"/>
      <c r="CW229" s="263"/>
      <c r="CX229" s="263"/>
      <c r="CY229" s="263"/>
      <c r="CZ229" s="263"/>
      <c r="DA229" s="263"/>
      <c r="DB229" s="263"/>
      <c r="DC229" s="263"/>
      <c r="DD229" s="263"/>
      <c r="DE229" s="263"/>
      <c r="DF229" s="263"/>
      <c r="DG229" s="263"/>
      <c r="DH229" s="263"/>
      <c r="DI229" s="263"/>
      <c r="DJ229" s="263"/>
      <c r="DK229" s="263"/>
      <c r="DL229" s="263"/>
      <c r="DM229" s="263"/>
      <c r="DN229" s="263"/>
      <c r="DO229" s="263"/>
      <c r="DP229" s="263"/>
      <c r="DQ229" s="263"/>
      <c r="DR229" s="263"/>
      <c r="DS229" s="263"/>
      <c r="DT229" s="263"/>
      <c r="DU229" s="263"/>
      <c r="DV229" s="263"/>
      <c r="DW229" s="263"/>
      <c r="DX229" s="263"/>
      <c r="DY229" s="263"/>
      <c r="DZ229" s="263"/>
      <c r="EA229" s="263"/>
      <c r="EB229" s="263"/>
      <c r="EC229" s="263"/>
      <c r="ED229" s="263"/>
      <c r="EE229" s="263"/>
      <c r="EF229" s="263"/>
      <c r="EG229" s="263"/>
      <c r="EH229" s="263"/>
      <c r="EI229" s="263"/>
      <c r="EJ229" s="263"/>
      <c r="EK229" s="263"/>
      <c r="EL229" s="263"/>
      <c r="EM229" s="263"/>
      <c r="EN229" s="263"/>
      <c r="EO229" s="263"/>
      <c r="EP229" s="263"/>
      <c r="EQ229" s="263"/>
      <c r="ER229" s="263"/>
      <c r="ES229" s="263"/>
      <c r="ET229" s="263"/>
      <c r="EU229" s="263"/>
      <c r="EV229" s="263"/>
      <c r="EW229" s="263"/>
      <c r="EX229" s="263"/>
      <c r="EY229" s="263"/>
      <c r="EZ229" s="263"/>
      <c r="FA229" s="263"/>
      <c r="FB229" s="263"/>
      <c r="FC229" s="263"/>
      <c r="FD229" s="263"/>
      <c r="FE229" s="263"/>
      <c r="FF229" s="263"/>
      <c r="FG229" s="263"/>
      <c r="FH229" s="263"/>
      <c r="FI229" s="263"/>
      <c r="FJ229" s="263"/>
      <c r="FK229" s="263"/>
      <c r="FL229" s="263"/>
      <c r="FM229" s="263"/>
      <c r="FN229" s="263"/>
      <c r="FO229" s="263"/>
      <c r="FP229" s="263"/>
      <c r="FQ229" s="263"/>
      <c r="FR229" s="263"/>
      <c r="FS229" s="263"/>
      <c r="FT229" s="263"/>
      <c r="FU229" s="263"/>
      <c r="FV229" s="263"/>
      <c r="FW229" s="263"/>
      <c r="FX229" s="263"/>
      <c r="FY229" s="263"/>
      <c r="FZ229" s="263"/>
      <c r="GA229" s="263"/>
      <c r="GB229" s="263"/>
      <c r="GC229" s="263"/>
      <c r="GD229" s="263"/>
      <c r="GE229" s="263"/>
      <c r="GF229" s="263"/>
      <c r="GG229" s="263"/>
      <c r="GH229" s="263"/>
      <c r="GI229" s="263"/>
      <c r="GJ229" s="263"/>
      <c r="GK229" s="263"/>
      <c r="GL229" s="263"/>
      <c r="GM229" s="263"/>
      <c r="GN229" s="263"/>
      <c r="GO229" s="263"/>
      <c r="GP229" s="263"/>
      <c r="GQ229" s="263"/>
      <c r="GR229" s="263"/>
      <c r="GS229" s="263"/>
      <c r="GT229" s="263"/>
      <c r="GU229" s="263"/>
      <c r="GV229" s="263"/>
      <c r="GW229" s="263"/>
      <c r="GX229" s="263"/>
      <c r="GY229" s="263"/>
      <c r="GZ229" s="263"/>
      <c r="HA229" s="263"/>
      <c r="HB229" s="263"/>
      <c r="HC229" s="263"/>
      <c r="HD229" s="263"/>
      <c r="HE229" s="263"/>
      <c r="HF229" s="263"/>
      <c r="HG229" s="263"/>
      <c r="HH229" s="263"/>
      <c r="HI229" s="263"/>
      <c r="HJ229" s="263"/>
      <c r="HK229" s="263"/>
      <c r="HL229" s="263"/>
      <c r="HM229" s="263"/>
      <c r="HN229" s="263"/>
      <c r="HO229" s="263"/>
      <c r="HP229" s="263"/>
      <c r="HQ229" s="263"/>
      <c r="HR229" s="263"/>
      <c r="HS229" s="263"/>
      <c r="HT229" s="263"/>
      <c r="HU229" s="263"/>
      <c r="HV229" s="263"/>
      <c r="HW229" s="263"/>
      <c r="HX229" s="263"/>
      <c r="HY229" s="263"/>
      <c r="HZ229" s="263"/>
      <c r="IA229" s="263"/>
      <c r="IB229" s="263"/>
      <c r="IC229" s="263"/>
      <c r="ID229" s="263"/>
      <c r="IE229" s="263"/>
      <c r="IF229" s="263"/>
      <c r="IG229" s="263"/>
      <c r="IH229" s="263"/>
      <c r="II229" s="263"/>
      <c r="IJ229" s="263"/>
      <c r="IK229" s="263"/>
      <c r="IL229" s="263"/>
      <c r="IM229" s="263"/>
      <c r="IN229" s="263"/>
      <c r="IO229" s="263"/>
      <c r="IP229" s="263"/>
      <c r="IQ229" s="263"/>
      <c r="IR229" s="263"/>
      <c r="IS229" s="263"/>
      <c r="IT229" s="263"/>
      <c r="IU229" s="263"/>
      <c r="IV229" s="263"/>
    </row>
    <row r="230" spans="1:256" ht="15" customHeight="1" x14ac:dyDescent="0.3">
      <c r="A230" s="638">
        <v>37421426</v>
      </c>
      <c r="B230" s="638" t="s">
        <v>568</v>
      </c>
      <c r="C230" s="638">
        <v>232.2</v>
      </c>
      <c r="D230" s="311"/>
      <c r="E230" s="305">
        <f>SUMIF(Adjustments!A:A,A230,Adjustments!C:C)</f>
        <v>0</v>
      </c>
      <c r="F230" s="280">
        <f t="shared" si="2"/>
        <v>232.2</v>
      </c>
      <c r="G230" s="263" t="str">
        <f>VLOOKUP('Trial Balance'!$A230,'Code Allocation'!$A:$D,3,0)</f>
        <v>CRA</v>
      </c>
      <c r="H230" s="266" t="str">
        <f>VLOOKUP('Trial Balance'!$A230,'Code Allocation'!$A:$D,4,0)</f>
        <v>Parks, gardens &amp; open Spaces</v>
      </c>
      <c r="I230" s="267" t="str">
        <f>VLOOKUP('Trial Balance'!$A230,'Code Allocation'!$A:$E,5,0)</f>
        <v>Supplies and Services</v>
      </c>
      <c r="J230" s="268" t="str">
        <f>VLOOKUP('Trial Balance'!$A230,'Code Allocation'!$A:$F,6,0)</f>
        <v>Repairs &amp; Maintenance - Gardens/Amenity Areas</v>
      </c>
    </row>
    <row r="231" spans="1:256" ht="15" customHeight="1" x14ac:dyDescent="0.3">
      <c r="A231" s="638">
        <v>37421427</v>
      </c>
      <c r="B231" s="638" t="s">
        <v>569</v>
      </c>
      <c r="C231" s="638">
        <v>474.19</v>
      </c>
      <c r="D231" s="311"/>
      <c r="E231" s="305">
        <f>SUMIF(Adjustments!A:A,A231,Adjustments!C:C)</f>
        <v>0</v>
      </c>
      <c r="F231" s="280">
        <f t="shared" si="2"/>
        <v>474.19</v>
      </c>
      <c r="G231" s="263" t="str">
        <f>VLOOKUP('Trial Balance'!$A231,'Code Allocation'!$A:$D,3,0)</f>
        <v>CRA</v>
      </c>
      <c r="H231" s="266" t="str">
        <f>VLOOKUP('Trial Balance'!$A231,'Code Allocation'!$A:$D,4,0)</f>
        <v>Parks, gardens &amp; open Spaces</v>
      </c>
      <c r="I231" s="267" t="str">
        <f>VLOOKUP('Trial Balance'!$A231,'Code Allocation'!$A:$E,5,0)</f>
        <v>Supplies and Services</v>
      </c>
      <c r="J231" s="268" t="str">
        <f>VLOOKUP('Trial Balance'!$A231,'Code Allocation'!$A:$F,6,0)</f>
        <v>Repairs &amp; Maintenance - Gardens/Amenity Areas</v>
      </c>
    </row>
    <row r="232" spans="1:256" ht="15" customHeight="1" x14ac:dyDescent="0.3">
      <c r="A232" s="638">
        <v>37421429</v>
      </c>
      <c r="B232" s="638" t="s">
        <v>570</v>
      </c>
      <c r="C232" s="638">
        <v>73.260000000000005</v>
      </c>
      <c r="D232" s="311"/>
      <c r="E232" s="305">
        <f>SUMIF(Adjustments!A:A,A232,Adjustments!C:C)</f>
        <v>0</v>
      </c>
      <c r="F232" s="280">
        <f t="shared" si="2"/>
        <v>73.260000000000005</v>
      </c>
      <c r="G232" s="263" t="str">
        <f>VLOOKUP('Trial Balance'!$A232,'Code Allocation'!$A:$D,3,0)</f>
        <v>CRA</v>
      </c>
      <c r="H232" s="266" t="str">
        <f>VLOOKUP('Trial Balance'!$A232,'Code Allocation'!$A:$D,4,0)</f>
        <v>Parks, gardens &amp; open Spaces</v>
      </c>
      <c r="I232" s="267" t="str">
        <f>VLOOKUP('Trial Balance'!$A232,'Code Allocation'!$A:$E,5,0)</f>
        <v>Supplies and Services</v>
      </c>
      <c r="J232" s="268" t="str">
        <f>VLOOKUP('Trial Balance'!$A232,'Code Allocation'!$A:$F,6,0)</f>
        <v>Repairs &amp; Maintenance - Gardens/Amenity Areas</v>
      </c>
    </row>
    <row r="233" spans="1:256" ht="15" customHeight="1" x14ac:dyDescent="0.3">
      <c r="A233" s="638">
        <v>37421445</v>
      </c>
      <c r="B233" s="638" t="s">
        <v>523</v>
      </c>
      <c r="C233" s="638">
        <v>73.260000000000005</v>
      </c>
      <c r="D233" s="311"/>
      <c r="E233" s="305">
        <f>SUMIF(Adjustments!A:A,A233,Adjustments!C:C)</f>
        <v>0</v>
      </c>
      <c r="F233" s="280">
        <f t="shared" si="2"/>
        <v>73.260000000000005</v>
      </c>
      <c r="G233" s="263" t="str">
        <f>VLOOKUP('Trial Balance'!$A233,'Code Allocation'!$A:$D,3,0)</f>
        <v>CRA</v>
      </c>
      <c r="H233" s="266" t="str">
        <f>VLOOKUP('Trial Balance'!$A233,'Code Allocation'!$A:$D,4,0)</f>
        <v>Parks, gardens &amp; open Spaces</v>
      </c>
      <c r="I233" s="267" t="str">
        <f>VLOOKUP('Trial Balance'!$A233,'Code Allocation'!$A:$E,5,0)</f>
        <v>Supplies and Services</v>
      </c>
      <c r="J233" s="268" t="str">
        <f>VLOOKUP('Trial Balance'!$A233,'Code Allocation'!$A:$F,6,0)</f>
        <v>Repairs &amp; Maintenance - Gardens/Amenity Areas</v>
      </c>
    </row>
    <row r="234" spans="1:256" ht="15" hidden="1" customHeight="1" x14ac:dyDescent="0.3">
      <c r="A234" s="638">
        <v>37421454</v>
      </c>
      <c r="B234" s="638" t="s">
        <v>571</v>
      </c>
      <c r="C234" s="638">
        <v>51.66</v>
      </c>
      <c r="D234" s="311"/>
      <c r="E234" s="305">
        <f>SUMIF(Adjustments!A:A,A234,Adjustments!C:C)</f>
        <v>0</v>
      </c>
      <c r="F234" s="280">
        <f t="shared" si="2"/>
        <v>51.66</v>
      </c>
      <c r="G234" s="263" t="e">
        <f>VLOOKUP('Trial Balance'!$A234,'Code Allocation'!$A:$D,3,0)</f>
        <v>#N/A</v>
      </c>
      <c r="H234" s="266" t="e">
        <f>VLOOKUP('Trial Balance'!$A234,'Code Allocation'!$A:$D,4,0)</f>
        <v>#N/A</v>
      </c>
      <c r="I234" s="267" t="e">
        <f>VLOOKUP('Trial Balance'!$A234,'Code Allocation'!$A:$E,5,0)</f>
        <v>#N/A</v>
      </c>
      <c r="J234" s="268" t="e">
        <f>VLOOKUP('Trial Balance'!$A234,'Code Allocation'!$A:$F,6,0)</f>
        <v>#N/A</v>
      </c>
    </row>
    <row r="235" spans="1:256" ht="15" customHeight="1" x14ac:dyDescent="0.3">
      <c r="A235" s="638">
        <v>37421499</v>
      </c>
      <c r="B235" s="638" t="s">
        <v>426</v>
      </c>
      <c r="C235" s="638">
        <v>52.85</v>
      </c>
      <c r="D235" s="311"/>
      <c r="E235" s="305">
        <f>SUMIF(Adjustments!A:A,A235,Adjustments!C:C)</f>
        <v>0</v>
      </c>
      <c r="F235" s="280">
        <f t="shared" ref="F235:F299" si="3">C235-D235+E235</f>
        <v>52.85</v>
      </c>
      <c r="G235" s="263" t="str">
        <f>VLOOKUP('Trial Balance'!$A235,'Code Allocation'!$A:$D,3,0)</f>
        <v>CRA</v>
      </c>
      <c r="H235" s="266" t="str">
        <f>VLOOKUP('Trial Balance'!$A235,'Code Allocation'!$A:$D,4,0)</f>
        <v>Parks, gardens &amp; open Spaces</v>
      </c>
      <c r="I235" s="267" t="str">
        <f>VLOOKUP('Trial Balance'!$A235,'Code Allocation'!$A:$E,5,0)</f>
        <v>Supplies and Services</v>
      </c>
      <c r="J235" s="268" t="str">
        <f>VLOOKUP('Trial Balance'!$A235,'Code Allocation'!$A:$F,6,0)</f>
        <v>Repairs &amp; Maintenance - Gardens/Amenity Areas</v>
      </c>
    </row>
    <row r="236" spans="1:256" ht="15" customHeight="1" x14ac:dyDescent="0.3">
      <c r="A236" s="638">
        <v>37421599</v>
      </c>
      <c r="B236" s="638" t="s">
        <v>572</v>
      </c>
      <c r="C236" s="638">
        <v>190.67</v>
      </c>
      <c r="D236" s="311"/>
      <c r="E236" s="305">
        <f>SUMIF(Adjustments!A:A,A236,Adjustments!C:C)</f>
        <v>0</v>
      </c>
      <c r="F236" s="280">
        <f t="shared" si="3"/>
        <v>190.67</v>
      </c>
      <c r="G236" s="263" t="str">
        <f>VLOOKUP('Trial Balance'!$A236,'Code Allocation'!$A:$D,3,0)</f>
        <v>CRA</v>
      </c>
      <c r="H236" s="266" t="str">
        <f>VLOOKUP('Trial Balance'!$A236,'Code Allocation'!$A:$D,4,0)</f>
        <v>Parks, gardens &amp; open Spaces</v>
      </c>
      <c r="I236" s="267" t="str">
        <f>VLOOKUP('Trial Balance'!$A236,'Code Allocation'!$A:$E,5,0)</f>
        <v>Supplies and Services</v>
      </c>
      <c r="J236" s="268" t="str">
        <f>VLOOKUP('Trial Balance'!$A236,'Code Allocation'!$A:$F,6,0)</f>
        <v>Repairs &amp; Maintenance - Gardens/Amenity Areas</v>
      </c>
    </row>
    <row r="237" spans="1:256" ht="15" customHeight="1" x14ac:dyDescent="0.3">
      <c r="A237" s="638">
        <v>37422099</v>
      </c>
      <c r="B237" s="638" t="s">
        <v>573</v>
      </c>
      <c r="C237" s="638">
        <v>147.96</v>
      </c>
      <c r="D237" s="311"/>
      <c r="E237" s="305">
        <f>SUMIF(Adjustments!A:A,A237,Adjustments!C:C)</f>
        <v>0</v>
      </c>
      <c r="F237" s="280">
        <f t="shared" si="3"/>
        <v>147.96</v>
      </c>
      <c r="G237" s="263" t="str">
        <f>VLOOKUP('Trial Balance'!$A237,'Code Allocation'!$A:$D,3,0)</f>
        <v>CRA</v>
      </c>
      <c r="H237" s="266" t="str">
        <f>VLOOKUP('Trial Balance'!$A237,'Code Allocation'!$A:$D,4,0)</f>
        <v>Parks, gardens &amp; open Spaces</v>
      </c>
      <c r="I237" s="267" t="str">
        <f>VLOOKUP('Trial Balance'!$A237,'Code Allocation'!$A:$E,5,0)</f>
        <v>Third Party Payments</v>
      </c>
      <c r="J237" s="268" t="str">
        <f>VLOOKUP('Trial Balance'!$A237,'Code Allocation'!$A:$F,6,0)</f>
        <v>Outside Contracts</v>
      </c>
    </row>
    <row r="238" spans="1:256" ht="15" customHeight="1" x14ac:dyDescent="0.3">
      <c r="A238" s="638">
        <v>37423035</v>
      </c>
      <c r="B238" s="638" t="s">
        <v>574</v>
      </c>
      <c r="C238" s="640">
        <v>9218.5</v>
      </c>
      <c r="D238" s="311"/>
      <c r="E238" s="305">
        <f>SUMIF(Adjustments!A:A,A238,Adjustments!C:C)</f>
        <v>0</v>
      </c>
      <c r="F238" s="280">
        <f t="shared" si="3"/>
        <v>9218.5</v>
      </c>
      <c r="G238" s="263" t="str">
        <f>VLOOKUP('Trial Balance'!$A238,'Code Allocation'!$A:$D,3,0)</f>
        <v>CRA</v>
      </c>
      <c r="H238" s="266" t="str">
        <f>VLOOKUP('Trial Balance'!$A238,'Code Allocation'!$A:$D,4,0)</f>
        <v>Parks, gardens &amp; open Spaces</v>
      </c>
      <c r="I238" s="267" t="str">
        <f>VLOOKUP('Trial Balance'!$A238,'Code Allocation'!$A:$E,5,0)</f>
        <v>Third Party Payments</v>
      </c>
      <c r="J238" s="268" t="str">
        <f>VLOOKUP('Trial Balance'!$A238,'Code Allocation'!$A:$F,6,0)</f>
        <v>Cleaning Contract - WDDC</v>
      </c>
    </row>
    <row r="239" spans="1:256" ht="15" customHeight="1" x14ac:dyDescent="0.3">
      <c r="A239" s="638">
        <v>37430227</v>
      </c>
      <c r="B239" s="638" t="s">
        <v>575</v>
      </c>
      <c r="C239" s="638">
        <v>973.65</v>
      </c>
      <c r="D239" s="311"/>
      <c r="E239" s="305">
        <f>SUMIF(Adjustments!A:A,A239,Adjustments!C:C)</f>
        <v>0</v>
      </c>
      <c r="F239" s="280">
        <f t="shared" si="3"/>
        <v>973.65</v>
      </c>
      <c r="G239" s="263" t="str">
        <f>VLOOKUP('Trial Balance'!$A239,'Code Allocation'!$A:$D,3,0)</f>
        <v>CRA</v>
      </c>
      <c r="H239" s="266" t="str">
        <f>VLOOKUP('Trial Balance'!$A239,'Code Allocation'!$A:$D,4,0)</f>
        <v>Parks, gardens &amp; open Spaces</v>
      </c>
      <c r="I239" s="267" t="str">
        <f>VLOOKUP('Trial Balance'!$A239,'Code Allocation'!$A:$E,5,0)</f>
        <v>Supplies and Services</v>
      </c>
      <c r="J239" s="268" t="str">
        <f>VLOOKUP('Trial Balance'!$A239,'Code Allocation'!$A:$F,6,0)</f>
        <v>Repairs &amp; Maintenance - Sports Facilities</v>
      </c>
    </row>
    <row r="240" spans="1:256" ht="15" customHeight="1" x14ac:dyDescent="0.3">
      <c r="A240" s="638">
        <v>37430326</v>
      </c>
      <c r="B240" s="638" t="s">
        <v>576</v>
      </c>
      <c r="C240" s="311"/>
      <c r="D240" s="638">
        <v>223.75</v>
      </c>
      <c r="E240" s="305">
        <f>SUMIF(Adjustments!A:A,A240,Adjustments!C:C)</f>
        <v>0</v>
      </c>
      <c r="F240" s="280">
        <f t="shared" si="3"/>
        <v>-223.75</v>
      </c>
      <c r="G240" s="263" t="str">
        <f>VLOOKUP('Trial Balance'!$A240,'Code Allocation'!$A:$D,3,0)</f>
        <v>CRA</v>
      </c>
      <c r="H240" s="266" t="str">
        <f>VLOOKUP('Trial Balance'!$A240,'Code Allocation'!$A:$D,4,0)</f>
        <v>Parks, gardens &amp; open Spaces</v>
      </c>
      <c r="I240" s="267" t="str">
        <f>VLOOKUP('Trial Balance'!$A240,'Code Allocation'!$A:$E,5,0)</f>
        <v>Supplies and Services</v>
      </c>
      <c r="J240" s="268" t="str">
        <f>VLOOKUP('Trial Balance'!$A240,'Code Allocation'!$A:$F,6,0)</f>
        <v>Repairs &amp; Maintenance - Sports Facilities</v>
      </c>
    </row>
    <row r="241" spans="1:10" ht="15" customHeight="1" x14ac:dyDescent="0.3">
      <c r="A241" s="638">
        <v>37430426</v>
      </c>
      <c r="B241" s="638" t="s">
        <v>577</v>
      </c>
      <c r="C241" s="638">
        <v>565.86</v>
      </c>
      <c r="D241" s="311"/>
      <c r="E241" s="305">
        <f>SUMIF(Adjustments!A:A,A241,Adjustments!C:C)</f>
        <v>0</v>
      </c>
      <c r="F241" s="280">
        <f t="shared" si="3"/>
        <v>565.86</v>
      </c>
      <c r="G241" s="263" t="str">
        <f>VLOOKUP('Trial Balance'!$A241,'Code Allocation'!$A:$D,3,0)</f>
        <v>CRA</v>
      </c>
      <c r="H241" s="266" t="str">
        <f>VLOOKUP('Trial Balance'!$A241,'Code Allocation'!$A:$D,4,0)</f>
        <v>Parks, gardens &amp; open Spaces</v>
      </c>
      <c r="I241" s="267" t="str">
        <f>VLOOKUP('Trial Balance'!$A241,'Code Allocation'!$A:$E,5,0)</f>
        <v>Supplies and Services</v>
      </c>
      <c r="J241" s="268" t="str">
        <f>VLOOKUP('Trial Balance'!$A241,'Code Allocation'!$A:$F,6,0)</f>
        <v>Repairs &amp; Maintenance - Sports Facilities</v>
      </c>
    </row>
    <row r="242" spans="1:10" ht="15" customHeight="1" x14ac:dyDescent="0.3">
      <c r="A242" s="638">
        <v>37430427</v>
      </c>
      <c r="B242" s="638" t="s">
        <v>578</v>
      </c>
      <c r="C242" s="638">
        <v>33.75</v>
      </c>
      <c r="D242" s="311"/>
      <c r="E242" s="305">
        <f>SUMIF(Adjustments!A:A,A242,Adjustments!C:C)</f>
        <v>0</v>
      </c>
      <c r="F242" s="280">
        <f t="shared" si="3"/>
        <v>33.75</v>
      </c>
      <c r="G242" s="263" t="str">
        <f>VLOOKUP('Trial Balance'!$A242,'Code Allocation'!$A:$D,3,0)</f>
        <v>CRA</v>
      </c>
      <c r="H242" s="266" t="str">
        <f>VLOOKUP('Trial Balance'!$A242,'Code Allocation'!$A:$D,4,0)</f>
        <v>Parks, gardens &amp; open Spaces</v>
      </c>
      <c r="I242" s="267" t="str">
        <f>VLOOKUP('Trial Balance'!$A242,'Code Allocation'!$A:$E,5,0)</f>
        <v>Supplies and Services</v>
      </c>
      <c r="J242" s="268" t="str">
        <f>VLOOKUP('Trial Balance'!$A242,'Code Allocation'!$A:$F,6,0)</f>
        <v>Repairs &amp; Maintenance - Sports Facilities</v>
      </c>
    </row>
    <row r="243" spans="1:10" ht="15" customHeight="1" x14ac:dyDescent="0.3">
      <c r="A243" s="638">
        <v>37430499</v>
      </c>
      <c r="B243" s="638" t="s">
        <v>579</v>
      </c>
      <c r="C243" s="638">
        <v>567.78</v>
      </c>
      <c r="D243" s="311"/>
      <c r="E243" s="305">
        <f>SUMIF(Adjustments!A:A,A243,Adjustments!C:C)</f>
        <v>0</v>
      </c>
      <c r="F243" s="280">
        <f t="shared" si="3"/>
        <v>567.78</v>
      </c>
      <c r="G243" s="263" t="str">
        <f>VLOOKUP('Trial Balance'!$A243,'Code Allocation'!$A:$D,3,0)</f>
        <v>CRA</v>
      </c>
      <c r="H243" s="266" t="str">
        <f>VLOOKUP('Trial Balance'!$A243,'Code Allocation'!$A:$D,4,0)</f>
        <v>Parks, gardens &amp; open Spaces</v>
      </c>
      <c r="I243" s="267" t="str">
        <f>VLOOKUP('Trial Balance'!$A243,'Code Allocation'!$A:$E,5,0)</f>
        <v>Supplies and Services</v>
      </c>
      <c r="J243" s="268" t="str">
        <f>VLOOKUP('Trial Balance'!$A243,'Code Allocation'!$A:$F,6,0)</f>
        <v>Repairs &amp; Maintenance - Sports Facilities</v>
      </c>
    </row>
    <row r="244" spans="1:10" ht="15" customHeight="1" x14ac:dyDescent="0.3">
      <c r="A244" s="638">
        <v>37430627</v>
      </c>
      <c r="B244" s="638" t="s">
        <v>580</v>
      </c>
      <c r="C244" s="638">
        <v>633.20000000000005</v>
      </c>
      <c r="D244" s="311"/>
      <c r="E244" s="305">
        <f>SUMIF(Adjustments!A:A,A244,Adjustments!C:C)</f>
        <v>0</v>
      </c>
      <c r="F244" s="280">
        <f t="shared" si="3"/>
        <v>633.20000000000005</v>
      </c>
      <c r="G244" s="263" t="str">
        <f>VLOOKUP('Trial Balance'!$A244,'Code Allocation'!$A:$D,3,0)</f>
        <v>CRA</v>
      </c>
      <c r="H244" s="266" t="str">
        <f>VLOOKUP('Trial Balance'!$A244,'Code Allocation'!$A:$D,4,0)</f>
        <v>Parks, gardens &amp; open Spaces</v>
      </c>
      <c r="I244" s="267" t="str">
        <f>VLOOKUP('Trial Balance'!$A244,'Code Allocation'!$A:$E,5,0)</f>
        <v>Supplies and Services</v>
      </c>
      <c r="J244" s="268" t="str">
        <f>VLOOKUP('Trial Balance'!$A244,'Code Allocation'!$A:$F,6,0)</f>
        <v>Repairs &amp; Maintenance - Sports Facilities</v>
      </c>
    </row>
    <row r="245" spans="1:10" ht="15" customHeight="1" x14ac:dyDescent="0.3">
      <c r="A245" s="638">
        <v>37430726</v>
      </c>
      <c r="B245" s="638" t="s">
        <v>581</v>
      </c>
      <c r="C245" s="638">
        <v>32.15</v>
      </c>
      <c r="D245" s="311"/>
      <c r="E245" s="305">
        <f>SUMIF(Adjustments!A:A,A245,Adjustments!C:C)</f>
        <v>0</v>
      </c>
      <c r="F245" s="280">
        <f t="shared" si="3"/>
        <v>32.15</v>
      </c>
      <c r="G245" s="263" t="str">
        <f>VLOOKUP('Trial Balance'!$A245,'Code Allocation'!$A:$D,3,0)</f>
        <v>CRA</v>
      </c>
      <c r="H245" s="266" t="str">
        <f>VLOOKUP('Trial Balance'!$A245,'Code Allocation'!$A:$D,4,0)</f>
        <v>Parks, gardens &amp; open Spaces</v>
      </c>
      <c r="I245" s="267" t="str">
        <f>VLOOKUP('Trial Balance'!$A245,'Code Allocation'!$A:$E,5,0)</f>
        <v>Supplies and Services</v>
      </c>
      <c r="J245" s="268" t="str">
        <f>VLOOKUP('Trial Balance'!$A245,'Code Allocation'!$A:$F,6,0)</f>
        <v>Repairs &amp; Maintenance - Sports Facilities</v>
      </c>
    </row>
    <row r="246" spans="1:10" ht="15" customHeight="1" x14ac:dyDescent="0.3">
      <c r="A246" s="638">
        <v>37430820</v>
      </c>
      <c r="B246" s="638" t="s">
        <v>582</v>
      </c>
      <c r="C246" s="638">
        <v>51</v>
      </c>
      <c r="D246" s="311"/>
      <c r="E246" s="305">
        <f>SUMIF(Adjustments!A:A,A246,Adjustments!C:C)</f>
        <v>0</v>
      </c>
      <c r="F246" s="280">
        <f t="shared" si="3"/>
        <v>51</v>
      </c>
      <c r="G246" s="263" t="str">
        <f>VLOOKUP('Trial Balance'!$A246,'Code Allocation'!$A:$D,3,0)</f>
        <v>CRA</v>
      </c>
      <c r="H246" s="266" t="str">
        <f>VLOOKUP('Trial Balance'!$A246,'Code Allocation'!$A:$D,4,0)</f>
        <v>Parks, gardens &amp; open Spaces</v>
      </c>
      <c r="I246" s="267" t="str">
        <f>VLOOKUP('Trial Balance'!$A246,'Code Allocation'!$A:$E,5,0)</f>
        <v>Supplies and Services</v>
      </c>
      <c r="J246" s="268" t="str">
        <f>VLOOKUP('Trial Balance'!$A246,'Code Allocation'!$A:$F,6,0)</f>
        <v>Repairs &amp; Maintenance - Sports Facilities</v>
      </c>
    </row>
    <row r="247" spans="1:10" ht="15" customHeight="1" x14ac:dyDescent="0.3">
      <c r="A247" s="638">
        <v>37440114</v>
      </c>
      <c r="B247" s="638" t="s">
        <v>583</v>
      </c>
      <c r="C247" s="640">
        <v>3950</v>
      </c>
      <c r="D247" s="311"/>
      <c r="E247" s="305">
        <f>SUMIF(Adjustments!A:A,A247,Adjustments!C:C)</f>
        <v>0</v>
      </c>
      <c r="F247" s="280">
        <f t="shared" si="3"/>
        <v>3950</v>
      </c>
      <c r="G247" s="263" t="str">
        <f>VLOOKUP('Trial Balance'!$A247,'Code Allocation'!$A:$D,3,0)</f>
        <v>CRA</v>
      </c>
      <c r="H247" s="266" t="str">
        <f>VLOOKUP('Trial Balance'!$A247,'Code Allocation'!$A:$D,4,0)</f>
        <v>Parks, gardens &amp; open Spaces</v>
      </c>
      <c r="I247" s="267" t="str">
        <f>VLOOKUP('Trial Balance'!$A247,'Code Allocation'!$A:$E,5,0)</f>
        <v>Supplies and Services</v>
      </c>
      <c r="J247" s="268" t="str">
        <f>VLOOKUP('Trial Balance'!$A247,'Code Allocation'!$A:$F,6,0)</f>
        <v>Tools, Equipment &amp; Consumables</v>
      </c>
    </row>
    <row r="248" spans="1:10" ht="15" customHeight="1" x14ac:dyDescent="0.3">
      <c r="A248" s="638">
        <v>37440120</v>
      </c>
      <c r="B248" s="638" t="s">
        <v>584</v>
      </c>
      <c r="C248" s="638">
        <v>107.83</v>
      </c>
      <c r="D248" s="311"/>
      <c r="E248" s="305">
        <f>SUMIF(Adjustments!A:A,A248,Adjustments!C:C)</f>
        <v>0</v>
      </c>
      <c r="F248" s="280">
        <f t="shared" si="3"/>
        <v>107.83</v>
      </c>
      <c r="G248" s="263" t="str">
        <f>VLOOKUP('Trial Balance'!$A248,'Code Allocation'!$A:$D,3,0)</f>
        <v>CRA</v>
      </c>
      <c r="H248" s="266" t="str">
        <f>VLOOKUP('Trial Balance'!$A248,'Code Allocation'!$A:$D,4,0)</f>
        <v>Parks, gardens &amp; open Spaces</v>
      </c>
      <c r="I248" s="267" t="str">
        <f>VLOOKUP('Trial Balance'!$A248,'Code Allocation'!$A:$E,5,0)</f>
        <v>Supplies and Services</v>
      </c>
      <c r="J248" s="268" t="str">
        <f>VLOOKUP('Trial Balance'!$A248,'Code Allocation'!$A:$F,6,0)</f>
        <v>Tools, Equipment &amp; Consumables</v>
      </c>
    </row>
    <row r="249" spans="1:10" ht="15" customHeight="1" x14ac:dyDescent="0.3">
      <c r="A249" s="638">
        <v>37440127</v>
      </c>
      <c r="B249" s="638" t="s">
        <v>585</v>
      </c>
      <c r="C249" s="638">
        <v>707.11</v>
      </c>
      <c r="D249" s="311"/>
      <c r="E249" s="305">
        <f>SUMIF(Adjustments!A:A,A249,Adjustments!C:C)</f>
        <v>0</v>
      </c>
      <c r="F249" s="278">
        <f t="shared" si="3"/>
        <v>707.11</v>
      </c>
      <c r="G249" s="263" t="str">
        <f>VLOOKUP('Trial Balance'!$A249,'Code Allocation'!$A:$D,3,0)</f>
        <v>CRA</v>
      </c>
      <c r="H249" s="266" t="str">
        <f>VLOOKUP('Trial Balance'!$A249,'Code Allocation'!$A:$D,4,0)</f>
        <v>Parks, gardens &amp; open Spaces</v>
      </c>
      <c r="I249" s="267" t="str">
        <f>VLOOKUP('Trial Balance'!$A249,'Code Allocation'!$A:$E,5,0)</f>
        <v>Supplies and Services</v>
      </c>
      <c r="J249" s="268" t="str">
        <f>VLOOKUP('Trial Balance'!$A249,'Code Allocation'!$A:$F,6,0)</f>
        <v>Tools, Equipment &amp; Consumables</v>
      </c>
    </row>
    <row r="250" spans="1:10" ht="15" customHeight="1" x14ac:dyDescent="0.3">
      <c r="A250" s="638">
        <v>37440129</v>
      </c>
      <c r="B250" s="638" t="s">
        <v>586</v>
      </c>
      <c r="C250" s="638">
        <v>400.24</v>
      </c>
      <c r="D250" s="311"/>
      <c r="E250" s="305">
        <f>SUMIF(Adjustments!A:A,A250,Adjustments!C:C)</f>
        <v>0</v>
      </c>
      <c r="F250" s="280">
        <f t="shared" si="3"/>
        <v>400.24</v>
      </c>
      <c r="G250" s="263" t="str">
        <f>VLOOKUP('Trial Balance'!$A250,'Code Allocation'!$A:$D,3,0)</f>
        <v>CRA</v>
      </c>
      <c r="H250" s="266" t="str">
        <f>VLOOKUP('Trial Balance'!$A250,'Code Allocation'!$A:$D,4,0)</f>
        <v>Parks, gardens &amp; open Spaces</v>
      </c>
      <c r="I250" s="267" t="str">
        <f>VLOOKUP('Trial Balance'!$A250,'Code Allocation'!$A:$E,5,0)</f>
        <v>Supplies and Services</v>
      </c>
      <c r="J250" s="268" t="str">
        <f>VLOOKUP('Trial Balance'!$A250,'Code Allocation'!$A:$F,6,0)</f>
        <v>Tools, Equipment &amp; Consumables</v>
      </c>
    </row>
    <row r="251" spans="1:10" ht="15" customHeight="1" x14ac:dyDescent="0.3">
      <c r="A251" s="638">
        <v>37440145</v>
      </c>
      <c r="B251" s="638" t="s">
        <v>587</v>
      </c>
      <c r="C251" s="638">
        <v>59.38</v>
      </c>
      <c r="D251" s="311"/>
      <c r="E251" s="305">
        <f>SUMIF(Adjustments!A:A,A251,Adjustments!C:C)</f>
        <v>0</v>
      </c>
      <c r="F251" s="280">
        <f t="shared" si="3"/>
        <v>59.38</v>
      </c>
      <c r="G251" s="263" t="str">
        <f>VLOOKUP('Trial Balance'!$A251,'Code Allocation'!$A:$D,3,0)</f>
        <v>CRA</v>
      </c>
      <c r="H251" s="266" t="str">
        <f>VLOOKUP('Trial Balance'!$A251,'Code Allocation'!$A:$D,4,0)</f>
        <v>Parks, gardens &amp; open Spaces</v>
      </c>
      <c r="I251" s="267" t="str">
        <f>VLOOKUP('Trial Balance'!$A251,'Code Allocation'!$A:$E,5,0)</f>
        <v>Supplies and Services</v>
      </c>
      <c r="J251" s="268" t="str">
        <f>VLOOKUP('Trial Balance'!$A251,'Code Allocation'!$A:$F,6,0)</f>
        <v>Tools, Equipment &amp; Consumables</v>
      </c>
    </row>
    <row r="252" spans="1:10" ht="15" customHeight="1" x14ac:dyDescent="0.3">
      <c r="A252" s="638">
        <v>37440199</v>
      </c>
      <c r="B252" s="638" t="s">
        <v>588</v>
      </c>
      <c r="C252" s="640">
        <v>2969.66</v>
      </c>
      <c r="D252" s="311"/>
      <c r="E252" s="305">
        <f>SUMIF(Adjustments!A:A,A252,Adjustments!C:C)</f>
        <v>0</v>
      </c>
      <c r="F252" s="280">
        <f t="shared" si="3"/>
        <v>2969.66</v>
      </c>
      <c r="G252" s="263" t="str">
        <f>VLOOKUP('Trial Balance'!$A252,'Code Allocation'!$A:$D,3,0)</f>
        <v>CRA</v>
      </c>
      <c r="H252" s="266" t="str">
        <f>VLOOKUP('Trial Balance'!$A252,'Code Allocation'!$A:$D,4,0)</f>
        <v>Parks, gardens &amp; open Spaces</v>
      </c>
      <c r="I252" s="267" t="str">
        <f>VLOOKUP('Trial Balance'!$A252,'Code Allocation'!$A:$E,5,0)</f>
        <v>Supplies and Services</v>
      </c>
      <c r="J252" s="268" t="str">
        <f>VLOOKUP('Trial Balance'!$A252,'Code Allocation'!$A:$F,6,0)</f>
        <v>Tools, Equipment &amp; Consumables</v>
      </c>
    </row>
    <row r="253" spans="1:10" ht="15" customHeight="1" x14ac:dyDescent="0.3">
      <c r="A253" s="638">
        <v>37440499</v>
      </c>
      <c r="B253" s="638" t="s">
        <v>589</v>
      </c>
      <c r="C253" s="638">
        <v>750</v>
      </c>
      <c r="D253" s="311"/>
      <c r="E253" s="305">
        <f>SUMIF(Adjustments!A:A,A253,Adjustments!C:C)</f>
        <v>0</v>
      </c>
      <c r="F253" s="280">
        <f t="shared" si="3"/>
        <v>750</v>
      </c>
      <c r="G253" s="263" t="str">
        <f>VLOOKUP('Trial Balance'!$A253,'Code Allocation'!$A:$D,3,0)</f>
        <v>CRA</v>
      </c>
      <c r="H253" s="266" t="str">
        <f>VLOOKUP('Trial Balance'!$A253,'Code Allocation'!$A:$D,4,0)</f>
        <v>Parks, gardens &amp; open Spaces</v>
      </c>
      <c r="I253" s="267" t="str">
        <f>VLOOKUP('Trial Balance'!$A253,'Code Allocation'!$A:$E,5,0)</f>
        <v>Supplies and Services</v>
      </c>
      <c r="J253" s="268" t="str">
        <f>VLOOKUP('Trial Balance'!$A253,'Code Allocation'!$A:$F,6,0)</f>
        <v>Health &amp; Safety</v>
      </c>
    </row>
    <row r="254" spans="1:10" ht="15" customHeight="1" x14ac:dyDescent="0.3">
      <c r="A254" s="638">
        <v>37450199</v>
      </c>
      <c r="B254" s="638" t="s">
        <v>590</v>
      </c>
      <c r="C254" s="640">
        <v>4281.26</v>
      </c>
      <c r="D254" s="311"/>
      <c r="E254" s="305">
        <f>SUMIF(Adjustments!A:A,A254,Adjustments!C:C)</f>
        <v>0</v>
      </c>
      <c r="F254" s="280">
        <f t="shared" si="3"/>
        <v>4281.26</v>
      </c>
      <c r="G254" s="263" t="str">
        <f>VLOOKUP('Trial Balance'!$A254,'Code Allocation'!$A:$D,3,0)</f>
        <v>CRA</v>
      </c>
      <c r="H254" s="266" t="str">
        <f>VLOOKUP('Trial Balance'!$A254,'Code Allocation'!$A:$D,4,0)</f>
        <v>Parks, gardens &amp; open Spaces</v>
      </c>
      <c r="I254" s="267" t="str">
        <f>VLOOKUP('Trial Balance'!$A254,'Code Allocation'!$A:$E,5,0)</f>
        <v>Supplies and Services</v>
      </c>
      <c r="J254" s="268" t="str">
        <f>VLOOKUP('Trial Balance'!$A254,'Code Allocation'!$A:$F,6,0)</f>
        <v>Refuse Tipping</v>
      </c>
    </row>
    <row r="255" spans="1:10" ht="15" customHeight="1" x14ac:dyDescent="0.3">
      <c r="A255" s="638">
        <v>37480120</v>
      </c>
      <c r="B255" s="638" t="s">
        <v>591</v>
      </c>
      <c r="C255" s="311"/>
      <c r="D255" s="638">
        <v>1.35</v>
      </c>
      <c r="E255" s="305">
        <f>SUMIF(Adjustments!A:A,A255,Adjustments!C:C)</f>
        <v>0</v>
      </c>
      <c r="F255" s="280">
        <f t="shared" si="3"/>
        <v>-1.35</v>
      </c>
      <c r="G255" s="263" t="str">
        <f>VLOOKUP('Trial Balance'!$A255,'Code Allocation'!$A:$D,3,0)</f>
        <v>CRA</v>
      </c>
      <c r="H255" s="266" t="str">
        <f>VLOOKUP('Trial Balance'!$A255,'Code Allocation'!$A:$D,4,0)</f>
        <v>Parks, gardens &amp; open Spaces</v>
      </c>
      <c r="I255" s="267" t="str">
        <f>VLOOKUP('Trial Balance'!$A255,'Code Allocation'!$A:$E,5,0)</f>
        <v>Supplies and Services</v>
      </c>
      <c r="J255" s="268" t="str">
        <f>VLOOKUP('Trial Balance'!$A255,'Code Allocation'!$A:$F,6,0)</f>
        <v>printing, stationery &amp; Advertising</v>
      </c>
    </row>
    <row r="256" spans="1:10" ht="15" customHeight="1" x14ac:dyDescent="0.3">
      <c r="A256" s="638">
        <v>37480145</v>
      </c>
      <c r="B256" s="638" t="s">
        <v>592</v>
      </c>
      <c r="C256" s="638">
        <v>70</v>
      </c>
      <c r="D256" s="311"/>
      <c r="E256" s="305">
        <f>SUMIF(Adjustments!A:A,A256,Adjustments!C:C)</f>
        <v>0</v>
      </c>
      <c r="F256" s="280">
        <f t="shared" si="3"/>
        <v>70</v>
      </c>
      <c r="G256" s="263" t="str">
        <f>VLOOKUP('Trial Balance'!$A256,'Code Allocation'!$A:$D,3,0)</f>
        <v>CRA</v>
      </c>
      <c r="H256" s="266" t="str">
        <f>VLOOKUP('Trial Balance'!$A256,'Code Allocation'!$A:$D,4,0)</f>
        <v>Parks, gardens &amp; open Spaces</v>
      </c>
      <c r="I256" s="267" t="str">
        <f>VLOOKUP('Trial Balance'!$A256,'Code Allocation'!$A:$E,5,0)</f>
        <v>Supplies and Services</v>
      </c>
      <c r="J256" s="268" t="str">
        <f>VLOOKUP('Trial Balance'!$A256,'Code Allocation'!$A:$F,6,0)</f>
        <v>printing, stationery &amp; Advertising</v>
      </c>
    </row>
    <row r="257" spans="1:10" ht="15" customHeight="1" x14ac:dyDescent="0.3">
      <c r="A257" s="638">
        <v>37490199</v>
      </c>
      <c r="B257" s="638" t="s">
        <v>593</v>
      </c>
      <c r="C257" s="311"/>
      <c r="D257" s="638">
        <v>120</v>
      </c>
      <c r="E257" s="305">
        <f>SUMIF(Adjustments!A:A,A257,Adjustments!C:C)</f>
        <v>0</v>
      </c>
      <c r="F257" s="280">
        <f t="shared" si="3"/>
        <v>-120</v>
      </c>
      <c r="G257" s="263" t="str">
        <f>VLOOKUP('Trial Balance'!$A257,'Code Allocation'!$A:$D,3,0)</f>
        <v>CRA</v>
      </c>
      <c r="H257" s="266" t="str">
        <f>VLOOKUP('Trial Balance'!$A257,'Code Allocation'!$A:$D,4,0)</f>
        <v>Parks, gardens &amp; open Spaces</v>
      </c>
      <c r="I257" s="267" t="str">
        <f>VLOOKUP('Trial Balance'!$A257,'Code Allocation'!$A:$E,5,0)</f>
        <v>Customer &amp; Client Receipts</v>
      </c>
      <c r="J257" s="268" t="str">
        <f>VLOOKUP('Trial Balance'!$A257,'Code Allocation'!$A:$F,6,0)</f>
        <v>Sundry</v>
      </c>
    </row>
    <row r="258" spans="1:10" ht="15" customHeight="1" x14ac:dyDescent="0.3">
      <c r="A258" s="638">
        <v>37910145</v>
      </c>
      <c r="B258" s="638" t="s">
        <v>594</v>
      </c>
      <c r="C258" s="640">
        <v>5583.35</v>
      </c>
      <c r="D258" s="311"/>
      <c r="E258" s="305">
        <f>SUMIF(Adjustments!A:A,A258,Adjustments!C:C)</f>
        <v>0</v>
      </c>
      <c r="F258" s="280">
        <f t="shared" si="3"/>
        <v>5583.35</v>
      </c>
      <c r="G258" s="263" t="str">
        <f>VLOOKUP('Trial Balance'!$A258,'Code Allocation'!$A:$D,3,0)</f>
        <v>CRA</v>
      </c>
      <c r="H258" s="266" t="str">
        <f>VLOOKUP('Trial Balance'!$A258,'Code Allocation'!$A:$D,4,0)</f>
        <v>Parks, gardens &amp; open Spaces</v>
      </c>
      <c r="I258" s="267" t="str">
        <f>VLOOKUP('Trial Balance'!$A258,'Code Allocation'!$A:$E,5,0)</f>
        <v>Supplies and Services</v>
      </c>
      <c r="J258" s="268" t="str">
        <f>VLOOKUP('Trial Balance'!$A258,'Code Allocation'!$A:$F,6,0)</f>
        <v>Borough Gardens Events</v>
      </c>
    </row>
    <row r="259" spans="1:10" ht="15" customHeight="1" x14ac:dyDescent="0.3">
      <c r="A259" s="638">
        <v>38140199</v>
      </c>
      <c r="B259" s="638" t="s">
        <v>595</v>
      </c>
      <c r="C259" s="638">
        <v>555.30999999999995</v>
      </c>
      <c r="D259" s="311"/>
      <c r="E259" s="305">
        <f>SUMIF(Adjustments!A:A,A259,Adjustments!C:C)</f>
        <v>0</v>
      </c>
      <c r="F259" s="280">
        <f t="shared" si="3"/>
        <v>555.30999999999995</v>
      </c>
      <c r="G259" s="263" t="str">
        <f>VLOOKUP('Trial Balance'!$A259,'Code Allocation'!$A:$D,3,0)</f>
        <v>CRA</v>
      </c>
      <c r="H259" s="266" t="str">
        <f>VLOOKUP('Trial Balance'!$A259,'Code Allocation'!$A:$D,4,0)</f>
        <v>Parks, gardens &amp; open Spaces</v>
      </c>
      <c r="I259" s="267" t="str">
        <f>VLOOKUP('Trial Balance'!$A259,'Code Allocation'!$A:$E,5,0)</f>
        <v>Supplies and Services</v>
      </c>
      <c r="J259" s="268" t="str">
        <f>VLOOKUP('Trial Balance'!$A259,'Code Allocation'!$A:$F,6,0)</f>
        <v>Office Equipment</v>
      </c>
    </row>
    <row r="260" spans="1:10" ht="15" customHeight="1" x14ac:dyDescent="0.3">
      <c r="A260" s="638">
        <v>38180199</v>
      </c>
      <c r="B260" s="638" t="s">
        <v>596</v>
      </c>
      <c r="C260" s="638">
        <v>275</v>
      </c>
      <c r="D260" s="311"/>
      <c r="E260" s="305">
        <f>SUMIF(Adjustments!A:A,A260,Adjustments!C:C)</f>
        <v>0</v>
      </c>
      <c r="F260" s="280">
        <f t="shared" si="3"/>
        <v>275</v>
      </c>
      <c r="G260" s="263" t="str">
        <f>VLOOKUP('Trial Balance'!$A260,'Code Allocation'!$A:$D,3,0)</f>
        <v>CRA</v>
      </c>
      <c r="H260" s="266" t="str">
        <f>VLOOKUP('Trial Balance'!$A260,'Code Allocation'!$A:$D,4,0)</f>
        <v>Parks, gardens &amp; open Spaces</v>
      </c>
      <c r="I260" s="267" t="str">
        <f>VLOOKUP('Trial Balance'!$A260,'Code Allocation'!$A:$E,5,0)</f>
        <v>Supplies and Services</v>
      </c>
      <c r="J260" s="268" t="str">
        <f>VLOOKUP('Trial Balance'!$A260,'Code Allocation'!$A:$F,6,0)</f>
        <v>subscriptions (professional bodies)</v>
      </c>
    </row>
    <row r="261" spans="1:10" ht="15" customHeight="1" x14ac:dyDescent="0.3">
      <c r="A261" s="638">
        <v>38220199</v>
      </c>
      <c r="B261" s="638" t="s">
        <v>597</v>
      </c>
      <c r="C261" s="638">
        <v>900</v>
      </c>
      <c r="D261" s="311"/>
      <c r="E261" s="305">
        <f>SUMIF(Adjustments!A:A,A261,Adjustments!C:C)</f>
        <v>0</v>
      </c>
      <c r="F261" s="280">
        <f t="shared" si="3"/>
        <v>900</v>
      </c>
      <c r="G261" s="263" t="str">
        <f>VLOOKUP('Trial Balance'!$A261,'Code Allocation'!$A:$D,3,0)</f>
        <v>CRA</v>
      </c>
      <c r="H261" s="266" t="str">
        <f>VLOOKUP('Trial Balance'!$A261,'Code Allocation'!$A:$D,4,0)</f>
        <v>Parks, gardens &amp; open Spaces</v>
      </c>
      <c r="I261" s="267" t="str">
        <f>VLOOKUP('Trial Balance'!$A261,'Code Allocation'!$A:$E,5,0)</f>
        <v>Supplies and Services</v>
      </c>
      <c r="J261" s="268" t="str">
        <f>VLOOKUP('Trial Balance'!$A261,'Code Allocation'!$A:$F,6,0)</f>
        <v>Legal/Professional Fees</v>
      </c>
    </row>
    <row r="262" spans="1:10" ht="15" customHeight="1" x14ac:dyDescent="0.3">
      <c r="A262" s="638">
        <v>39100199</v>
      </c>
      <c r="B262" s="638" t="s">
        <v>598</v>
      </c>
      <c r="C262" s="640">
        <v>15723.83</v>
      </c>
      <c r="D262" s="311"/>
      <c r="E262" s="305">
        <f>SUMIF(Adjustments!A:A,A262,Adjustments!C:C)</f>
        <v>-401.83</v>
      </c>
      <c r="F262" s="280">
        <f t="shared" si="3"/>
        <v>15322</v>
      </c>
      <c r="G262" s="263" t="str">
        <f>VLOOKUP('Trial Balance'!$A262,'Code Allocation'!$A:$D,3,0)</f>
        <v>CRA</v>
      </c>
      <c r="H262" s="266" t="str">
        <f>VLOOKUP('Trial Balance'!$A262,'Code Allocation'!$A:$D,4,0)</f>
        <v>Parks, gardens &amp; open Spaces</v>
      </c>
      <c r="I262" s="267" t="str">
        <f>VLOOKUP('Trial Balance'!$A262,'Code Allocation'!$A:$E,5,0)</f>
        <v>Supplies and Services</v>
      </c>
      <c r="J262" s="268" t="str">
        <f>VLOOKUP('Trial Balance'!$A262,'Code Allocation'!$A:$F,6,0)</f>
        <v>Special Item</v>
      </c>
    </row>
    <row r="263" spans="1:10" ht="15" customHeight="1" x14ac:dyDescent="0.3">
      <c r="A263" s="638">
        <v>39100299</v>
      </c>
      <c r="B263" s="638" t="s">
        <v>599</v>
      </c>
      <c r="C263" s="640">
        <v>3450</v>
      </c>
      <c r="D263" s="311"/>
      <c r="E263" s="305">
        <f>SUMIF(Adjustments!A:A,A263,Adjustments!C:C)</f>
        <v>0</v>
      </c>
      <c r="F263" s="280">
        <f t="shared" si="3"/>
        <v>3450</v>
      </c>
      <c r="G263" s="263" t="str">
        <f>VLOOKUP('Trial Balance'!$A263,'Code Allocation'!$A:$D,3,0)</f>
        <v>CRA</v>
      </c>
      <c r="H263" s="266" t="str">
        <f>VLOOKUP('Trial Balance'!$A263,'Code Allocation'!$A:$D,4,0)</f>
        <v>Parks, gardens &amp; open Spaces</v>
      </c>
      <c r="I263" s="267" t="str">
        <f>VLOOKUP('Trial Balance'!$A263,'Code Allocation'!$A:$E,5,0)</f>
        <v>Supplies and Services</v>
      </c>
      <c r="J263" s="268" t="str">
        <f>VLOOKUP('Trial Balance'!$A263,'Code Allocation'!$A:$F,6,0)</f>
        <v>Repairs and Renewals</v>
      </c>
    </row>
    <row r="264" spans="1:10" ht="15" hidden="1" customHeight="1" x14ac:dyDescent="0.3">
      <c r="A264" s="638">
        <v>44160199</v>
      </c>
      <c r="B264" s="638" t="s">
        <v>600</v>
      </c>
      <c r="C264" s="311"/>
      <c r="D264" s="640">
        <v>1130081</v>
      </c>
      <c r="E264" s="305">
        <f>SUMIF(Adjustments!A:A,A264,Adjustments!C:C)</f>
        <v>0</v>
      </c>
      <c r="F264" s="280">
        <f t="shared" si="3"/>
        <v>-1130081</v>
      </c>
      <c r="G264" s="263" t="str">
        <f>VLOOKUP('Trial Balance'!$A264,'Code Allocation'!$A:$D,3,0)</f>
        <v>CRA</v>
      </c>
      <c r="H264" s="266" t="str">
        <f>VLOOKUP('Trial Balance'!$A264,'Code Allocation'!$A:$D,4,0)</f>
        <v>Income from Local Taxation</v>
      </c>
      <c r="I264" s="267" t="str">
        <f>VLOOKUP('Trial Balance'!$A264,'Code Allocation'!$A:$E,5,0)</f>
        <v>Council Tax Precept</v>
      </c>
      <c r="J264" s="268" t="str">
        <f>VLOOKUP('Trial Balance'!$A264,'Code Allocation'!$A:$F,6,0)</f>
        <v>Precept</v>
      </c>
    </row>
    <row r="265" spans="1:10" ht="15" customHeight="1" x14ac:dyDescent="0.3">
      <c r="A265" s="638">
        <v>44420299</v>
      </c>
      <c r="B265" s="638" t="s">
        <v>601</v>
      </c>
      <c r="C265" s="640">
        <v>25618.5</v>
      </c>
      <c r="D265" s="311"/>
      <c r="E265" s="305">
        <f>SUMIF(Adjustments!A:A,A265,Adjustments!C:C)</f>
        <v>0</v>
      </c>
      <c r="F265" s="280">
        <f t="shared" si="3"/>
        <v>25618.5</v>
      </c>
      <c r="G265" s="263" t="str">
        <f>VLOOKUP('Trial Balance'!$A265,'Code Allocation'!$A:$D,3,0)</f>
        <v>CRA</v>
      </c>
      <c r="H265" s="266" t="str">
        <f>VLOOKUP('Trial Balance'!$A265,'Code Allocation'!$A:$D,4,0)</f>
        <v>Parks, gardens &amp; open Spaces</v>
      </c>
      <c r="I265" s="267" t="str">
        <f>VLOOKUP('Trial Balance'!$A265,'Code Allocation'!$A:$E,5,0)</f>
        <v>Reimbursements &amp; Contributions</v>
      </c>
      <c r="J265" s="268" t="str">
        <f>VLOOKUP('Trial Balance'!$A265,'Code Allocation'!$A:$F,6,0)</f>
        <v>Admin Charge - Outside Contracts</v>
      </c>
    </row>
    <row r="266" spans="1:10" ht="15" hidden="1" customHeight="1" x14ac:dyDescent="0.3">
      <c r="A266" s="638">
        <v>44450299</v>
      </c>
      <c r="B266" s="638" t="s">
        <v>602</v>
      </c>
      <c r="C266" s="640">
        <v>16921</v>
      </c>
      <c r="D266" s="311"/>
      <c r="E266" s="305">
        <f>SUMIF(Adjustments!A:A,A266,Adjustments!C:C)</f>
        <v>0</v>
      </c>
      <c r="F266" s="280">
        <f t="shared" si="3"/>
        <v>16921</v>
      </c>
      <c r="G266" s="263" t="str">
        <f>VLOOKUP('Trial Balance'!$A266,'Code Allocation'!$A:$D,3,0)</f>
        <v>CRA</v>
      </c>
      <c r="H266" s="266" t="str">
        <f>VLOOKUP('Trial Balance'!$A266,'Code Allocation'!$A:$D,4,0)</f>
        <v>Corporate Management</v>
      </c>
      <c r="I266" s="267" t="str">
        <f>VLOOKUP('Trial Balance'!$A266,'Code Allocation'!$A:$E,5,0)</f>
        <v>Reimbursements &amp; Contributions</v>
      </c>
      <c r="J266" s="268" t="str">
        <f>VLOOKUP('Trial Balance'!$A266,'Code Allocation'!$A:$F,6,0)</f>
        <v>Admin - Dorchester Markets Joint Committee</v>
      </c>
    </row>
    <row r="267" spans="1:10" s="279" customFormat="1" ht="15" hidden="1" customHeight="1" x14ac:dyDescent="0.3">
      <c r="A267" s="638">
        <v>44550199</v>
      </c>
      <c r="B267" s="638" t="s">
        <v>603</v>
      </c>
      <c r="C267" s="311"/>
      <c r="D267" s="640">
        <v>18148.189999999999</v>
      </c>
      <c r="E267" s="305">
        <f>SUMIF(Adjustments!A:A,A267,Adjustments!C:C)</f>
        <v>0</v>
      </c>
      <c r="F267" s="280">
        <f t="shared" si="3"/>
        <v>-18148.189999999999</v>
      </c>
      <c r="G267" s="263" t="str">
        <f>VLOOKUP('Trial Balance'!$A267,'Code Allocation'!$A:$D,3,0)</f>
        <v>CRA</v>
      </c>
      <c r="H267" s="266" t="str">
        <f>VLOOKUP('Trial Balance'!$A267,'Code Allocation'!$A:$D,4,0)</f>
        <v>Corporate Management</v>
      </c>
      <c r="I267" s="267" t="str">
        <f>VLOOKUP('Trial Balance'!$A267,'Code Allocation'!$A:$E,5,0)</f>
        <v>Customer &amp; Client Receipts</v>
      </c>
      <c r="J267" s="268" t="str">
        <f>VLOOKUP('Trial Balance'!$A267,'Code Allocation'!$A:$F,6,0)</f>
        <v>Market - Share of Surplus</v>
      </c>
    </row>
    <row r="268" spans="1:10" ht="15" hidden="1" customHeight="1" x14ac:dyDescent="0.3">
      <c r="A268" s="638">
        <v>44710199</v>
      </c>
      <c r="B268" s="638" t="s">
        <v>604</v>
      </c>
      <c r="C268" s="640">
        <v>1222.5</v>
      </c>
      <c r="D268" s="311"/>
      <c r="E268" s="305">
        <f>SUMIF(Adjustments!A:A,A268,Adjustments!C:C)</f>
        <v>0</v>
      </c>
      <c r="F268" s="280">
        <f t="shared" si="3"/>
        <v>1222.5</v>
      </c>
      <c r="G268" s="263" t="str">
        <f>VLOOKUP('Trial Balance'!$A268,'Code Allocation'!$A:$D,3,0)</f>
        <v>CRA</v>
      </c>
      <c r="H268" s="266" t="str">
        <f>VLOOKUP('Trial Balance'!$A268,'Code Allocation'!$A:$D,4,0)</f>
        <v>Interest and Investment Income</v>
      </c>
      <c r="I268" s="267" t="str">
        <f>VLOOKUP('Trial Balance'!$A268,'Code Allocation'!$A:$E,5,0)</f>
        <v>interest on balances</v>
      </c>
      <c r="J268" s="268" t="str">
        <f>VLOOKUP('Trial Balance'!$A268,'Code Allocation'!$A:$F,6,0)</f>
        <v>Interest and Investment Income</v>
      </c>
    </row>
    <row r="269" spans="1:10" ht="15" hidden="1" customHeight="1" x14ac:dyDescent="0.3">
      <c r="A269" s="638">
        <v>44980199</v>
      </c>
      <c r="B269" s="638" t="s">
        <v>468</v>
      </c>
      <c r="C269" s="311"/>
      <c r="D269" s="638">
        <v>30.39</v>
      </c>
      <c r="E269" s="305">
        <f>SUMIF(Adjustments!A:A,A269,Adjustments!C:C)</f>
        <v>0</v>
      </c>
      <c r="F269" s="280">
        <f t="shared" si="3"/>
        <v>-30.39</v>
      </c>
      <c r="G269" s="263" t="str">
        <f>VLOOKUP('Trial Balance'!$A269,'Code Allocation'!$A:$D,3,0)</f>
        <v>CRA</v>
      </c>
      <c r="H269" s="266" t="str">
        <f>VLOOKUP('Trial Balance'!$A269,'Code Allocation'!$A:$D,4,0)</f>
        <v>Corporate Management</v>
      </c>
      <c r="I269" s="267" t="str">
        <f>VLOOKUP('Trial Balance'!$A269,'Code Allocation'!$A:$E,5,0)</f>
        <v>Customer &amp; Client Receipts</v>
      </c>
      <c r="J269" s="268" t="str">
        <f>VLOOKUP('Trial Balance'!$A269,'Code Allocation'!$A:$F,6,0)</f>
        <v>Sundry</v>
      </c>
    </row>
    <row r="270" spans="1:10" ht="15" hidden="1" customHeight="1" x14ac:dyDescent="0.3">
      <c r="A270" s="638">
        <v>47000199</v>
      </c>
      <c r="B270" s="638" t="s">
        <v>403</v>
      </c>
      <c r="C270" s="640">
        <v>64973.47</v>
      </c>
      <c r="D270" s="311"/>
      <c r="E270" s="305">
        <f>SUMIF(Adjustments!A:A,A270,Adjustments!C:C)</f>
        <v>0</v>
      </c>
      <c r="F270" s="280">
        <f t="shared" si="3"/>
        <v>64973.47</v>
      </c>
      <c r="G270" s="263" t="str">
        <f>VLOOKUP('Trial Balance'!$A270,'Code Allocation'!$A:$D,3,0)</f>
        <v>CRA</v>
      </c>
      <c r="H270" s="266" t="str">
        <f>VLOOKUP('Trial Balance'!$A270,'Code Allocation'!$A:$D,4,0)</f>
        <v>Non-Rechargeable Administration</v>
      </c>
      <c r="I270" s="267" t="str">
        <f>VLOOKUP('Trial Balance'!$A270,'Code Allocation'!$A:$E,5,0)</f>
        <v>employees</v>
      </c>
      <c r="J270" s="268" t="str">
        <f>VLOOKUP('Trial Balance'!$A270,'Code Allocation'!$A:$F,6,0)</f>
        <v>Salaries</v>
      </c>
    </row>
    <row r="271" spans="1:10" ht="15" hidden="1" customHeight="1" x14ac:dyDescent="0.3">
      <c r="A271" s="638">
        <v>47000299</v>
      </c>
      <c r="B271" s="638" t="s">
        <v>605</v>
      </c>
      <c r="C271" s="640">
        <v>10392.49</v>
      </c>
      <c r="D271" s="311"/>
      <c r="E271" s="305">
        <f>SUMIF(Adjustments!A:A,A271,Adjustments!C:C)</f>
        <v>0</v>
      </c>
      <c r="F271" s="280">
        <f t="shared" si="3"/>
        <v>10392.49</v>
      </c>
      <c r="G271" s="263" t="str">
        <f>VLOOKUP('Trial Balance'!$A271,'Code Allocation'!$A:$D,3,0)</f>
        <v>CRA</v>
      </c>
      <c r="H271" s="266" t="str">
        <f>VLOOKUP('Trial Balance'!$A271,'Code Allocation'!$A:$D,4,0)</f>
        <v>Democratic Representation</v>
      </c>
      <c r="I271" s="267" t="str">
        <f>VLOOKUP('Trial Balance'!$A271,'Code Allocation'!$A:$E,5,0)</f>
        <v>Supplies and Services</v>
      </c>
      <c r="J271" s="268" t="str">
        <f>VLOOKUP('Trial Balance'!$A271,'Code Allocation'!$A:$F,6,0)</f>
        <v>Members Allowances</v>
      </c>
    </row>
    <row r="272" spans="1:10" ht="15" hidden="1" customHeight="1" x14ac:dyDescent="0.3">
      <c r="A272" s="638">
        <v>47010199</v>
      </c>
      <c r="B272" s="638" t="s">
        <v>606</v>
      </c>
      <c r="C272" s="638">
        <v>273.44</v>
      </c>
      <c r="D272" s="311"/>
      <c r="E272" s="305">
        <f>SUMIF(Adjustments!A:A,A272,Adjustments!C:C)</f>
        <v>0</v>
      </c>
      <c r="F272" s="280">
        <f t="shared" si="3"/>
        <v>273.44</v>
      </c>
      <c r="G272" s="263" t="str">
        <f>VLOOKUP('Trial Balance'!$A272,'Code Allocation'!$A:$D,3,0)</f>
        <v>CRA</v>
      </c>
      <c r="H272" s="266" t="str">
        <f>VLOOKUP('Trial Balance'!$A272,'Code Allocation'!$A:$D,4,0)</f>
        <v>Democratic Representation</v>
      </c>
      <c r="I272" s="267" t="str">
        <f>VLOOKUP('Trial Balance'!$A272,'Code Allocation'!$A:$E,5,0)</f>
        <v>employees</v>
      </c>
      <c r="J272" s="268" t="str">
        <f>VLOOKUP('Trial Balance'!$A272,'Code Allocation'!$A:$F,6,0)</f>
        <v>Salary Mace Bearer/Beadle/Town Crier</v>
      </c>
    </row>
    <row r="273" spans="1:10" ht="15" hidden="1" customHeight="1" x14ac:dyDescent="0.3">
      <c r="A273" s="638">
        <v>47020198</v>
      </c>
      <c r="B273" s="638" t="s">
        <v>607</v>
      </c>
      <c r="C273" s="638">
        <v>292.42</v>
      </c>
      <c r="D273" s="311"/>
      <c r="E273" s="305">
        <f>SUMIF(Adjustments!A:A,A273,Adjustments!C:C)</f>
        <v>0</v>
      </c>
      <c r="F273" s="280">
        <f t="shared" si="3"/>
        <v>292.42</v>
      </c>
      <c r="G273" s="263" t="str">
        <f>VLOOKUP('Trial Balance'!$A273,'Code Allocation'!$A:$D,3,0)</f>
        <v>CRA</v>
      </c>
      <c r="H273" s="266" t="str">
        <f>VLOOKUP('Trial Balance'!$A273,'Code Allocation'!$A:$D,4,0)</f>
        <v>Democratic Representation</v>
      </c>
      <c r="I273" s="267" t="str">
        <f>VLOOKUP('Trial Balance'!$A273,'Code Allocation'!$A:$E,5,0)</f>
        <v>employees</v>
      </c>
      <c r="J273" s="268" t="str">
        <f>VLOOKUP('Trial Balance'!$A273,'Code Allocation'!$A:$F,6,0)</f>
        <v>Employers National Insurance</v>
      </c>
    </row>
    <row r="274" spans="1:10" ht="15" hidden="1" customHeight="1" x14ac:dyDescent="0.3">
      <c r="A274" s="638">
        <v>47020199</v>
      </c>
      <c r="B274" s="638" t="s">
        <v>404</v>
      </c>
      <c r="C274" s="640">
        <v>5014.33</v>
      </c>
      <c r="D274" s="311"/>
      <c r="E274" s="305">
        <f>SUMIF(Adjustments!A:A,A274,Adjustments!C:C)</f>
        <v>0</v>
      </c>
      <c r="F274" s="280">
        <f t="shared" si="3"/>
        <v>5014.33</v>
      </c>
      <c r="G274" s="263" t="str">
        <f>VLOOKUP('Trial Balance'!$A274,'Code Allocation'!$A:$D,3,0)</f>
        <v>CRA</v>
      </c>
      <c r="H274" s="266" t="str">
        <f>VLOOKUP('Trial Balance'!$A274,'Code Allocation'!$A:$D,4,0)</f>
        <v>Non-Rechargeable Administration</v>
      </c>
      <c r="I274" s="267" t="str">
        <f>VLOOKUP('Trial Balance'!$A274,'Code Allocation'!$A:$E,5,0)</f>
        <v>employees</v>
      </c>
      <c r="J274" s="268" t="str">
        <f>VLOOKUP('Trial Balance'!$A274,'Code Allocation'!$A:$F,6,0)</f>
        <v>Employers National Insurance</v>
      </c>
    </row>
    <row r="275" spans="1:10" ht="15" hidden="1" customHeight="1" x14ac:dyDescent="0.3">
      <c r="A275" s="638">
        <v>47030199</v>
      </c>
      <c r="B275" s="638" t="s">
        <v>405</v>
      </c>
      <c r="C275" s="640">
        <v>12875.21</v>
      </c>
      <c r="D275" s="311"/>
      <c r="E275" s="305">
        <f>SUMIF(Adjustments!A:A,A275,Adjustments!C:C)</f>
        <v>0</v>
      </c>
      <c r="F275" s="280">
        <f t="shared" si="3"/>
        <v>12875.21</v>
      </c>
      <c r="G275" s="263" t="str">
        <f>VLOOKUP('Trial Balance'!$A275,'Code Allocation'!$A:$D,3,0)</f>
        <v>CRA</v>
      </c>
      <c r="H275" s="266" t="str">
        <f>VLOOKUP('Trial Balance'!$A275,'Code Allocation'!$A:$D,4,0)</f>
        <v>Non-Rechargeable Administration</v>
      </c>
      <c r="I275" s="267" t="str">
        <f>VLOOKUP('Trial Balance'!$A275,'Code Allocation'!$A:$E,5,0)</f>
        <v>employees</v>
      </c>
      <c r="J275" s="268" t="str">
        <f>VLOOKUP('Trial Balance'!$A275,'Code Allocation'!$A:$F,6,0)</f>
        <v>Employers Superannuation</v>
      </c>
    </row>
    <row r="276" spans="1:10" ht="15" hidden="1" customHeight="1" x14ac:dyDescent="0.3">
      <c r="A276" s="638">
        <v>47040199</v>
      </c>
      <c r="B276" s="638" t="s">
        <v>608</v>
      </c>
      <c r="C276" s="638">
        <v>78.5</v>
      </c>
      <c r="D276" s="311"/>
      <c r="E276" s="305">
        <f>SUMIF(Adjustments!A:A,A276,Adjustments!C:C)</f>
        <v>0</v>
      </c>
      <c r="F276" s="280">
        <f t="shared" si="3"/>
        <v>78.5</v>
      </c>
      <c r="G276" s="263" t="str">
        <f>VLOOKUP('Trial Balance'!$A276,'Code Allocation'!$A:$D,3,0)</f>
        <v>CRA</v>
      </c>
      <c r="H276" s="266" t="str">
        <f>VLOOKUP('Trial Balance'!$A276,'Code Allocation'!$A:$D,4,0)</f>
        <v>Non-Rechargeable Administration</v>
      </c>
      <c r="I276" s="267" t="str">
        <f>VLOOKUP('Trial Balance'!$A276,'Code Allocation'!$A:$E,5,0)</f>
        <v>Transport related expenses</v>
      </c>
      <c r="J276" s="268" t="str">
        <f>VLOOKUP('Trial Balance'!$A276,'Code Allocation'!$A:$F,6,0)</f>
        <v>Travel &amp; Subsistence</v>
      </c>
    </row>
    <row r="277" spans="1:10" ht="15" hidden="1" customHeight="1" x14ac:dyDescent="0.3">
      <c r="A277" s="638">
        <v>47050199</v>
      </c>
      <c r="B277" s="638" t="s">
        <v>609</v>
      </c>
      <c r="C277" s="638">
        <v>514</v>
      </c>
      <c r="D277" s="311"/>
      <c r="E277" s="305">
        <f>SUMIF(Adjustments!A:A,A277,Adjustments!C:C)</f>
        <v>0</v>
      </c>
      <c r="F277" s="280">
        <f t="shared" si="3"/>
        <v>514</v>
      </c>
      <c r="G277" s="263" t="str">
        <f>VLOOKUP('Trial Balance'!$A277,'Code Allocation'!$A:$D,3,0)</f>
        <v>CRA</v>
      </c>
      <c r="H277" s="266" t="str">
        <f>VLOOKUP('Trial Balance'!$A277,'Code Allocation'!$A:$D,4,0)</f>
        <v>Non-Rechargeable Administration</v>
      </c>
      <c r="I277" s="267" t="str">
        <f>VLOOKUP('Trial Balance'!$A277,'Code Allocation'!$A:$E,5,0)</f>
        <v>employees</v>
      </c>
      <c r="J277" s="268" t="str">
        <f>VLOOKUP('Trial Balance'!$A277,'Code Allocation'!$A:$F,6,0)</f>
        <v>Training Courses</v>
      </c>
    </row>
    <row r="278" spans="1:10" ht="15" hidden="1" customHeight="1" x14ac:dyDescent="0.3">
      <c r="A278" s="638">
        <v>47100101</v>
      </c>
      <c r="B278" s="638" t="s">
        <v>610</v>
      </c>
      <c r="C278" s="638">
        <v>208.8</v>
      </c>
      <c r="D278" s="311"/>
      <c r="E278" s="305">
        <f>SUMIF(Adjustments!A:A,A278,Adjustments!C:C)</f>
        <v>0</v>
      </c>
      <c r="F278" s="280">
        <f t="shared" si="3"/>
        <v>208.8</v>
      </c>
      <c r="G278" s="263" t="str">
        <f>VLOOKUP('Trial Balance'!$A278,'Code Allocation'!$A:$D,3,0)</f>
        <v>CRA</v>
      </c>
      <c r="H278" s="266" t="str">
        <f>VLOOKUP('Trial Balance'!$A278,'Code Allocation'!$A:$D,4,0)</f>
        <v>Non-Rechargeable Administration</v>
      </c>
      <c r="I278" s="267" t="str">
        <f>VLOOKUP('Trial Balance'!$A278,'Code Allocation'!$A:$E,5,0)</f>
        <v>Premises Related Expenses</v>
      </c>
      <c r="J278" s="268" t="str">
        <f>VLOOKUP('Trial Balance'!$A278,'Code Allocation'!$A:$F,6,0)</f>
        <v>Gas</v>
      </c>
    </row>
    <row r="279" spans="1:10" ht="15" hidden="1" customHeight="1" x14ac:dyDescent="0.3">
      <c r="A279" s="638">
        <v>47110101</v>
      </c>
      <c r="B279" s="638" t="s">
        <v>611</v>
      </c>
      <c r="C279" s="638">
        <v>804.46</v>
      </c>
      <c r="D279" s="311"/>
      <c r="E279" s="305">
        <f>SUMIF(Adjustments!A:A,A279,Adjustments!C:C)</f>
        <v>0</v>
      </c>
      <c r="F279" s="280">
        <f t="shared" si="3"/>
        <v>804.46</v>
      </c>
      <c r="G279" s="263" t="str">
        <f>VLOOKUP('Trial Balance'!$A279,'Code Allocation'!$A:$D,3,0)</f>
        <v>CRA</v>
      </c>
      <c r="H279" s="266" t="str">
        <f>VLOOKUP('Trial Balance'!$A279,'Code Allocation'!$A:$D,4,0)</f>
        <v>Non-Rechargeable Administration</v>
      </c>
      <c r="I279" s="267" t="str">
        <f>VLOOKUP('Trial Balance'!$A279,'Code Allocation'!$A:$E,5,0)</f>
        <v>Premises Related Expenses</v>
      </c>
      <c r="J279" s="268" t="str">
        <f>VLOOKUP('Trial Balance'!$A279,'Code Allocation'!$A:$F,6,0)</f>
        <v>Electricity</v>
      </c>
    </row>
    <row r="280" spans="1:10" ht="15" hidden="1" customHeight="1" x14ac:dyDescent="0.3">
      <c r="A280" s="638">
        <v>47120101</v>
      </c>
      <c r="B280" s="638" t="s">
        <v>612</v>
      </c>
      <c r="C280" s="638">
        <v>99.73</v>
      </c>
      <c r="D280" s="311"/>
      <c r="E280" s="305">
        <f>SUMIF(Adjustments!A:A,A280,Adjustments!C:C)</f>
        <v>0</v>
      </c>
      <c r="F280" s="280">
        <f t="shared" si="3"/>
        <v>99.73</v>
      </c>
      <c r="G280" s="263" t="str">
        <f>VLOOKUP('Trial Balance'!$A280,'Code Allocation'!$A:$D,3,0)</f>
        <v>CRA</v>
      </c>
      <c r="H280" s="266" t="str">
        <f>VLOOKUP('Trial Balance'!$A280,'Code Allocation'!$A:$D,4,0)</f>
        <v>Non-Rechargeable Administration</v>
      </c>
      <c r="I280" s="267" t="str">
        <f>VLOOKUP('Trial Balance'!$A280,'Code Allocation'!$A:$E,5,0)</f>
        <v>Premises Related Expenses</v>
      </c>
      <c r="J280" s="268" t="str">
        <f>VLOOKUP('Trial Balance'!$A280,'Code Allocation'!$A:$F,6,0)</f>
        <v>Water</v>
      </c>
    </row>
    <row r="281" spans="1:10" ht="15" hidden="1" customHeight="1" x14ac:dyDescent="0.3">
      <c r="A281" s="638">
        <v>47140101</v>
      </c>
      <c r="B281" s="638" t="s">
        <v>613</v>
      </c>
      <c r="C281" s="640">
        <v>2975.5</v>
      </c>
      <c r="D281" s="311"/>
      <c r="E281" s="305">
        <f>SUMIF(Adjustments!A:A,A281,Adjustments!C:C)</f>
        <v>0</v>
      </c>
      <c r="F281" s="280">
        <f t="shared" si="3"/>
        <v>2975.5</v>
      </c>
      <c r="G281" s="263" t="str">
        <f>VLOOKUP('Trial Balance'!$A281,'Code Allocation'!$A:$D,3,0)</f>
        <v>CRA</v>
      </c>
      <c r="H281" s="266" t="str">
        <f>VLOOKUP('Trial Balance'!$A281,'Code Allocation'!$A:$D,4,0)</f>
        <v>Non-Rechargeable Administration</v>
      </c>
      <c r="I281" s="267" t="str">
        <f>VLOOKUP('Trial Balance'!$A281,'Code Allocation'!$A:$E,5,0)</f>
        <v>Premises Related Expenses</v>
      </c>
      <c r="J281" s="268" t="str">
        <f>VLOOKUP('Trial Balance'!$A281,'Code Allocation'!$A:$F,6,0)</f>
        <v>Rates</v>
      </c>
    </row>
    <row r="282" spans="1:10" ht="15" hidden="1" customHeight="1" x14ac:dyDescent="0.3">
      <c r="A282" s="638">
        <v>47160101</v>
      </c>
      <c r="B282" s="638" t="s">
        <v>614</v>
      </c>
      <c r="C282" s="640">
        <v>1381.41</v>
      </c>
      <c r="D282" s="311"/>
      <c r="E282" s="305">
        <f>SUMIF(Adjustments!A:A,A282,Adjustments!C:C)</f>
        <v>0</v>
      </c>
      <c r="F282" s="280">
        <f t="shared" si="3"/>
        <v>1381.41</v>
      </c>
      <c r="G282" s="263" t="str">
        <f>VLOOKUP('Trial Balance'!$A282,'Code Allocation'!$A:$D,3,0)</f>
        <v>CRA</v>
      </c>
      <c r="H282" s="266" t="str">
        <f>VLOOKUP('Trial Balance'!$A282,'Code Allocation'!$A:$D,4,0)</f>
        <v>Non-Rechargeable Administration</v>
      </c>
      <c r="I282" s="267" t="str">
        <f>VLOOKUP('Trial Balance'!$A282,'Code Allocation'!$A:$E,5,0)</f>
        <v>Supplies and Services</v>
      </c>
      <c r="J282" s="268" t="str">
        <f>VLOOKUP('Trial Balance'!$A282,'Code Allocation'!$A:$F,6,0)</f>
        <v>Telephone</v>
      </c>
    </row>
    <row r="283" spans="1:10" ht="15" hidden="1" customHeight="1" x14ac:dyDescent="0.3">
      <c r="A283" s="638">
        <v>47160201</v>
      </c>
      <c r="B283" s="638" t="s">
        <v>615</v>
      </c>
      <c r="C283" s="638">
        <v>101.71</v>
      </c>
      <c r="D283" s="311"/>
      <c r="E283" s="305">
        <f>SUMIF(Adjustments!A:A,A283,Adjustments!C:C)</f>
        <v>0</v>
      </c>
      <c r="F283" s="280">
        <f t="shared" si="3"/>
        <v>101.71</v>
      </c>
      <c r="G283" s="263" t="str">
        <f>VLOOKUP('Trial Balance'!$A283,'Code Allocation'!$A:$D,3,0)</f>
        <v>CRA</v>
      </c>
      <c r="H283" s="266" t="str">
        <f>VLOOKUP('Trial Balance'!$A283,'Code Allocation'!$A:$D,4,0)</f>
        <v>Non-Rechargeable Administration</v>
      </c>
      <c r="I283" s="267" t="str">
        <f>VLOOKUP('Trial Balance'!$A283,'Code Allocation'!$A:$E,5,0)</f>
        <v>Supplies and Services</v>
      </c>
      <c r="J283" s="268" t="str">
        <f>VLOOKUP('Trial Balance'!$A283,'Code Allocation'!$A:$F,6,0)</f>
        <v>Telephone</v>
      </c>
    </row>
    <row r="284" spans="1:10" ht="15" hidden="1" customHeight="1" x14ac:dyDescent="0.3">
      <c r="A284" s="638">
        <v>47180101</v>
      </c>
      <c r="B284" s="638" t="s">
        <v>415</v>
      </c>
      <c r="C284" s="638">
        <v>251.3</v>
      </c>
      <c r="D284" s="311"/>
      <c r="E284" s="305">
        <f>SUMIF(Adjustments!A:A,A284,Adjustments!C:C)</f>
        <v>0</v>
      </c>
      <c r="F284" s="280">
        <f t="shared" si="3"/>
        <v>251.3</v>
      </c>
      <c r="G284" s="263" t="str">
        <f>VLOOKUP('Trial Balance'!$A284,'Code Allocation'!$A:$D,3,0)</f>
        <v>CRA</v>
      </c>
      <c r="H284" s="266" t="str">
        <f>VLOOKUP('Trial Balance'!$A284,'Code Allocation'!$A:$D,4,0)</f>
        <v>Non-Rechargeable Administration</v>
      </c>
      <c r="I284" s="267" t="str">
        <f>VLOOKUP('Trial Balance'!$A284,'Code Allocation'!$A:$E,5,0)</f>
        <v>Premises Related Expenses</v>
      </c>
      <c r="J284" s="268" t="str">
        <f>VLOOKUP('Trial Balance'!$A284,'Code Allocation'!$A:$F,6,0)</f>
        <v>Cleaning Costs</v>
      </c>
    </row>
    <row r="285" spans="1:10" ht="15" hidden="1" customHeight="1" x14ac:dyDescent="0.3">
      <c r="A285" s="638">
        <v>47180102</v>
      </c>
      <c r="B285" s="638" t="s">
        <v>616</v>
      </c>
      <c r="C285" s="640">
        <v>1578.62</v>
      </c>
      <c r="D285" s="311"/>
      <c r="E285" s="305">
        <f>SUMIF(Adjustments!A:A,A285,Adjustments!C:C)</f>
        <v>0</v>
      </c>
      <c r="F285" s="280">
        <f t="shared" si="3"/>
        <v>1578.62</v>
      </c>
      <c r="G285" s="263" t="str">
        <f>VLOOKUP('Trial Balance'!$A285,'Code Allocation'!$A:$D,3,0)</f>
        <v>CRA</v>
      </c>
      <c r="H285" s="266" t="str">
        <f>VLOOKUP('Trial Balance'!$A285,'Code Allocation'!$A:$D,4,0)</f>
        <v>Non-Rechargeable Administration</v>
      </c>
      <c r="I285" s="267" t="str">
        <f>VLOOKUP('Trial Balance'!$A285,'Code Allocation'!$A:$E,5,0)</f>
        <v>employees</v>
      </c>
      <c r="J285" s="268" t="str">
        <f>VLOOKUP('Trial Balance'!$A285,'Code Allocation'!$A:$F,6,0)</f>
        <v>salaries</v>
      </c>
    </row>
    <row r="286" spans="1:10" ht="15" hidden="1" customHeight="1" x14ac:dyDescent="0.3">
      <c r="A286" s="638">
        <v>47180199</v>
      </c>
      <c r="B286" s="638" t="s">
        <v>617</v>
      </c>
      <c r="C286" s="638">
        <v>132.19999999999999</v>
      </c>
      <c r="D286" s="311"/>
      <c r="E286" s="305">
        <f>SUMIF(Adjustments!A:A,A286,Adjustments!C:C)</f>
        <v>0</v>
      </c>
      <c r="F286" s="280">
        <f t="shared" si="3"/>
        <v>132.19999999999999</v>
      </c>
      <c r="G286" s="263" t="str">
        <f>VLOOKUP('Trial Balance'!$A286,'Code Allocation'!$A:$D,3,0)</f>
        <v>CRA</v>
      </c>
      <c r="H286" s="266" t="str">
        <f>VLOOKUP('Trial Balance'!$A286,'Code Allocation'!$A:$D,4,0)</f>
        <v>Non-Rechargeable Administration</v>
      </c>
      <c r="I286" s="267" t="str">
        <f>VLOOKUP('Trial Balance'!$A286,'Code Allocation'!$A:$E,5,0)</f>
        <v>Premises Related Expenses</v>
      </c>
      <c r="J286" s="268" t="str">
        <f>VLOOKUP('Trial Balance'!$A286,'Code Allocation'!$A:$F,6,0)</f>
        <v>Cleaning Costs</v>
      </c>
    </row>
    <row r="287" spans="1:10" ht="15" hidden="1" customHeight="1" x14ac:dyDescent="0.3">
      <c r="A287" s="638">
        <v>47190301</v>
      </c>
      <c r="B287" s="638" t="s">
        <v>618</v>
      </c>
      <c r="C287" s="638">
        <v>80</v>
      </c>
      <c r="D287" s="311"/>
      <c r="E287" s="305">
        <f>SUMIF(Adjustments!A:A,A287,Adjustments!C:C)</f>
        <v>0</v>
      </c>
      <c r="F287" s="280">
        <f t="shared" si="3"/>
        <v>80</v>
      </c>
      <c r="G287" s="263" t="str">
        <f>VLOOKUP('Trial Balance'!$A287,'Code Allocation'!$A:$D,3,0)</f>
        <v>CRA</v>
      </c>
      <c r="H287" s="266" t="str">
        <f>VLOOKUP('Trial Balance'!$A287,'Code Allocation'!$A:$D,4,0)</f>
        <v>Non-Rechargeable Administration</v>
      </c>
      <c r="I287" s="267" t="str">
        <f>VLOOKUP('Trial Balance'!$A287,'Code Allocation'!$A:$E,5,0)</f>
        <v>Premises Related Expenses</v>
      </c>
      <c r="J287" s="268" t="str">
        <f>VLOOKUP('Trial Balance'!$A287,'Code Allocation'!$A:$F,6,0)</f>
        <v>repairs &amp; maintenance</v>
      </c>
    </row>
    <row r="288" spans="1:10" ht="15" hidden="1" customHeight="1" x14ac:dyDescent="0.3">
      <c r="A288" s="638">
        <v>47190401</v>
      </c>
      <c r="B288" s="638" t="s">
        <v>619</v>
      </c>
      <c r="C288" s="638">
        <v>504.57</v>
      </c>
      <c r="D288" s="311"/>
      <c r="E288" s="305">
        <f>SUMIF(Adjustments!A:A,A288,Adjustments!C:C)</f>
        <v>0</v>
      </c>
      <c r="F288" s="280">
        <f t="shared" si="3"/>
        <v>504.57</v>
      </c>
      <c r="G288" s="263" t="str">
        <f>VLOOKUP('Trial Balance'!$A288,'Code Allocation'!$A:$D,3,0)</f>
        <v>CRA</v>
      </c>
      <c r="H288" s="266" t="str">
        <f>VLOOKUP('Trial Balance'!$A288,'Code Allocation'!$A:$D,4,0)</f>
        <v>Non-Rechargeable Administration</v>
      </c>
      <c r="I288" s="267" t="str">
        <f>VLOOKUP('Trial Balance'!$A288,'Code Allocation'!$A:$E,5,0)</f>
        <v>Premises Related Expenses</v>
      </c>
      <c r="J288" s="268" t="str">
        <f>VLOOKUP('Trial Balance'!$A288,'Code Allocation'!$A:$F,6,0)</f>
        <v>repairs &amp; maintenance</v>
      </c>
    </row>
    <row r="289" spans="1:10" ht="15" hidden="1" customHeight="1" x14ac:dyDescent="0.3">
      <c r="A289" s="638">
        <v>47190501</v>
      </c>
      <c r="B289" s="638" t="s">
        <v>620</v>
      </c>
      <c r="C289" s="638">
        <v>163.66999999999999</v>
      </c>
      <c r="D289" s="311"/>
      <c r="E289" s="305">
        <f>SUMIF(Adjustments!A:A,A289,Adjustments!C:C)</f>
        <v>0</v>
      </c>
      <c r="F289" s="280">
        <f t="shared" si="3"/>
        <v>163.66999999999999</v>
      </c>
      <c r="G289" s="263" t="str">
        <f>VLOOKUP('Trial Balance'!$A289,'Code Allocation'!$A:$D,3,0)</f>
        <v>CRA</v>
      </c>
      <c r="H289" s="266" t="str">
        <f>VLOOKUP('Trial Balance'!$A289,'Code Allocation'!$A:$D,4,0)</f>
        <v>Non-Rechargeable Administration</v>
      </c>
      <c r="I289" s="267" t="str">
        <f>VLOOKUP('Trial Balance'!$A289,'Code Allocation'!$A:$E,5,0)</f>
        <v>Premises Related Expenses</v>
      </c>
      <c r="J289" s="268" t="str">
        <f>VLOOKUP('Trial Balance'!$A289,'Code Allocation'!$A:$F,6,0)</f>
        <v>repairs &amp; maintenance</v>
      </c>
    </row>
    <row r="290" spans="1:10" ht="15" hidden="1" customHeight="1" x14ac:dyDescent="0.3">
      <c r="A290" s="638">
        <v>47421499</v>
      </c>
      <c r="B290" s="638" t="s">
        <v>621</v>
      </c>
      <c r="C290" s="638">
        <v>110</v>
      </c>
      <c r="D290" s="311"/>
      <c r="E290" s="305">
        <f>SUMIF(Adjustments!A:A,A290,Adjustments!C:C)</f>
        <v>0</v>
      </c>
      <c r="F290" s="280">
        <f t="shared" si="3"/>
        <v>110</v>
      </c>
      <c r="G290" s="263" t="str">
        <f>VLOOKUP('Trial Balance'!$A290,'Code Allocation'!$A:$D,3,0)</f>
        <v>CRA</v>
      </c>
      <c r="H290" s="266" t="str">
        <f>VLOOKUP('Trial Balance'!$A290,'Code Allocation'!$A:$D,4,0)</f>
        <v>Non-Rechargeable Administration</v>
      </c>
      <c r="I290" s="267" t="str">
        <f>VLOOKUP('Trial Balance'!$A290,'Code Allocation'!$A:$E,5,0)</f>
        <v>Premises Related Expenses</v>
      </c>
      <c r="J290" s="268" t="str">
        <f>VLOOKUP('Trial Balance'!$A290,'Code Allocation'!$A:$F,6,0)</f>
        <v>repairs &amp; maintenance</v>
      </c>
    </row>
    <row r="291" spans="1:10" ht="15" hidden="1" customHeight="1" x14ac:dyDescent="0.3">
      <c r="A291" s="638">
        <v>47440101</v>
      </c>
      <c r="B291" s="638" t="s">
        <v>622</v>
      </c>
      <c r="C291" s="638">
        <v>959.39</v>
      </c>
      <c r="D291" s="311"/>
      <c r="E291" s="305">
        <f>SUMIF(Adjustments!A:A,A291,Adjustments!C:C)</f>
        <v>0</v>
      </c>
      <c r="F291" s="642">
        <f t="shared" si="3"/>
        <v>959.39</v>
      </c>
      <c r="G291" s="263" t="str">
        <f>VLOOKUP('Trial Balance'!$A291,'Code Allocation'!$A:$D,3,0)</f>
        <v>CRA</v>
      </c>
      <c r="H291" s="266" t="str">
        <f>VLOOKUP('Trial Balance'!$A291,'Code Allocation'!$A:$D,4,0)</f>
        <v>Non-Rechargeable Administration</v>
      </c>
      <c r="I291" s="267" t="str">
        <f>VLOOKUP('Trial Balance'!$A291,'Code Allocation'!$A:$E,5,0)</f>
        <v>Supplies and Services</v>
      </c>
      <c r="J291" s="268" t="str">
        <f>VLOOKUP('Trial Balance'!$A291,'Code Allocation'!$A:$F,6,0)</f>
        <v>Office Equipment</v>
      </c>
    </row>
    <row r="292" spans="1:10" ht="15" hidden="1" customHeight="1" x14ac:dyDescent="0.3">
      <c r="A292" s="638">
        <v>47440199</v>
      </c>
      <c r="B292" s="638" t="s">
        <v>623</v>
      </c>
      <c r="C292" s="638">
        <v>4.1500000000000004</v>
      </c>
      <c r="D292" s="311"/>
      <c r="E292" s="305">
        <f>SUMIF(Adjustments!A:A,A292,Adjustments!C:C)</f>
        <v>0</v>
      </c>
      <c r="F292" s="642">
        <f t="shared" si="3"/>
        <v>4.1500000000000004</v>
      </c>
      <c r="G292" s="263" t="str">
        <f>VLOOKUP('Trial Balance'!$A292,'Code Allocation'!$A:$D,3,0)</f>
        <v>CRA</v>
      </c>
      <c r="H292" s="266" t="str">
        <f>VLOOKUP('Trial Balance'!$A292,'Code Allocation'!$A:$D,4,0)</f>
        <v>Non-Rechargeable Administration</v>
      </c>
      <c r="I292" s="267" t="str">
        <f>VLOOKUP('Trial Balance'!$A292,'Code Allocation'!$A:$E,5,0)</f>
        <v>Supplies and Services</v>
      </c>
      <c r="J292" s="268" t="str">
        <f>VLOOKUP('Trial Balance'!$A292,'Code Allocation'!$A:$F,6,0)</f>
        <v>Office Equipment</v>
      </c>
    </row>
    <row r="293" spans="1:10" ht="15" hidden="1" customHeight="1" x14ac:dyDescent="0.3">
      <c r="A293" s="638">
        <v>47440599</v>
      </c>
      <c r="B293" s="638" t="s">
        <v>624</v>
      </c>
      <c r="C293" s="638">
        <v>677.49</v>
      </c>
      <c r="D293" s="311"/>
      <c r="E293" s="305">
        <f>SUMIF(Adjustments!A:A,A293,Adjustments!C:C)</f>
        <v>0</v>
      </c>
      <c r="F293" s="642">
        <f t="shared" si="3"/>
        <v>677.49</v>
      </c>
      <c r="G293" s="263" t="str">
        <f>VLOOKUP('Trial Balance'!$A293,'Code Allocation'!$A:$D,3,0)</f>
        <v>CRA</v>
      </c>
      <c r="H293" s="266" t="str">
        <f>VLOOKUP('Trial Balance'!$A293,'Code Allocation'!$A:$D,4,0)</f>
        <v>Non-Rechargeable Administration</v>
      </c>
      <c r="I293" s="267" t="str">
        <f>VLOOKUP('Trial Balance'!$A293,'Code Allocation'!$A:$E,5,0)</f>
        <v>Supplies and Services</v>
      </c>
      <c r="J293" s="268" t="str">
        <f>VLOOKUP('Trial Balance'!$A293,'Code Allocation'!$A:$F,6,0)</f>
        <v>Office Equipment</v>
      </c>
    </row>
    <row r="294" spans="1:10" ht="15" hidden="1" customHeight="1" x14ac:dyDescent="0.3">
      <c r="A294" s="638">
        <v>47700199</v>
      </c>
      <c r="B294" s="638" t="s">
        <v>625</v>
      </c>
      <c r="C294" s="638">
        <v>572.84</v>
      </c>
      <c r="D294" s="311"/>
      <c r="E294" s="305">
        <f>SUMIF(Adjustments!A:A,A294,Adjustments!C:C)</f>
        <v>0</v>
      </c>
      <c r="F294" s="280">
        <f t="shared" si="3"/>
        <v>572.84</v>
      </c>
      <c r="G294" s="263" t="str">
        <f>VLOOKUP('Trial Balance'!$A294,'Code Allocation'!$A:$D,3,0)</f>
        <v>CRA</v>
      </c>
      <c r="H294" s="266" t="str">
        <f>VLOOKUP('Trial Balance'!$A294,'Code Allocation'!$A:$D,4,0)</f>
        <v>Democratic Representation</v>
      </c>
      <c r="I294" s="267" t="str">
        <f>VLOOKUP('Trial Balance'!$A294,'Code Allocation'!$A:$E,5,0)</f>
        <v>Supplies and Services</v>
      </c>
      <c r="J294" s="268" t="str">
        <f>VLOOKUP('Trial Balance'!$A294,'Code Allocation'!$A:$F,6,0)</f>
        <v>Mayoral Expenses - Overseas Visits</v>
      </c>
    </row>
    <row r="295" spans="1:10" ht="15" hidden="1" customHeight="1" x14ac:dyDescent="0.3">
      <c r="A295" s="638">
        <v>47730299</v>
      </c>
      <c r="B295" s="638" t="s">
        <v>626</v>
      </c>
      <c r="C295" s="640">
        <v>1453.08</v>
      </c>
      <c r="D295" s="311"/>
      <c r="E295" s="305">
        <f>SUMIF(Adjustments!A:A,A295,Adjustments!C:C)</f>
        <v>0</v>
      </c>
      <c r="F295" s="280">
        <f t="shared" si="3"/>
        <v>1453.08</v>
      </c>
      <c r="G295" s="263" t="str">
        <f>VLOOKUP('Trial Balance'!$A295,'Code Allocation'!$A:$D,3,0)</f>
        <v>CRA</v>
      </c>
      <c r="H295" s="266" t="str">
        <f>VLOOKUP('Trial Balance'!$A295,'Code Allocation'!$A:$D,4,0)</f>
        <v>Democratic Representation</v>
      </c>
      <c r="I295" s="267" t="str">
        <f>VLOOKUP('Trial Balance'!$A295,'Code Allocation'!$A:$E,5,0)</f>
        <v>Supplies and Services</v>
      </c>
      <c r="J295" s="268" t="str">
        <f>VLOOKUP('Trial Balance'!$A295,'Code Allocation'!$A:$F,6,0)</f>
        <v>Mayoral Expenses - Mayors Making</v>
      </c>
    </row>
    <row r="296" spans="1:10" ht="15" hidden="1" customHeight="1" x14ac:dyDescent="0.3">
      <c r="A296" s="638">
        <v>47740199</v>
      </c>
      <c r="B296" s="638" t="s">
        <v>438</v>
      </c>
      <c r="C296" s="638">
        <v>236.71</v>
      </c>
      <c r="D296" s="311"/>
      <c r="E296" s="305">
        <f>SUMIF(Adjustments!A:A,A296,Adjustments!C:C)</f>
        <v>0</v>
      </c>
      <c r="F296" s="280">
        <f t="shared" si="3"/>
        <v>236.71</v>
      </c>
      <c r="G296" s="263" t="str">
        <f>VLOOKUP('Trial Balance'!$A296,'Code Allocation'!$A:$D,3,0)</f>
        <v>CRA</v>
      </c>
      <c r="H296" s="266" t="str">
        <f>VLOOKUP('Trial Balance'!$A296,'Code Allocation'!$A:$D,4,0)</f>
        <v>Democratic Representation</v>
      </c>
      <c r="I296" s="267" t="str">
        <f>VLOOKUP('Trial Balance'!$A296,'Code Allocation'!$A:$E,5,0)</f>
        <v>Supplies and Services</v>
      </c>
      <c r="J296" s="268" t="str">
        <f>VLOOKUP('Trial Balance'!$A296,'Code Allocation'!$A:$F,6,0)</f>
        <v>Civic Regalia</v>
      </c>
    </row>
    <row r="297" spans="1:10" ht="15" hidden="1" customHeight="1" x14ac:dyDescent="0.3">
      <c r="A297" s="638">
        <v>47760199</v>
      </c>
      <c r="B297" s="638" t="s">
        <v>627</v>
      </c>
      <c r="C297" s="638">
        <v>467</v>
      </c>
      <c r="D297" s="311"/>
      <c r="E297" s="305">
        <f>SUMIF(Adjustments!A:A,A297,Adjustments!C:C)</f>
        <v>0</v>
      </c>
      <c r="F297" s="280">
        <f t="shared" si="3"/>
        <v>467</v>
      </c>
      <c r="G297" s="263" t="str">
        <f>VLOOKUP('Trial Balance'!$A297,'Code Allocation'!$A:$D,3,0)</f>
        <v>CRA</v>
      </c>
      <c r="H297" s="266" t="str">
        <f>VLOOKUP('Trial Balance'!$A297,'Code Allocation'!$A:$D,4,0)</f>
        <v>Democratic Representation</v>
      </c>
      <c r="I297" s="267" t="str">
        <f>VLOOKUP('Trial Balance'!$A297,'Code Allocation'!$A:$E,5,0)</f>
        <v>Supplies and Services</v>
      </c>
      <c r="J297" s="268" t="str">
        <f>VLOOKUP('Trial Balance'!$A297,'Code Allocation'!$A:$F,6,0)</f>
        <v>Entertaining</v>
      </c>
    </row>
    <row r="298" spans="1:10" ht="15" hidden="1" customHeight="1" x14ac:dyDescent="0.3">
      <c r="A298" s="638">
        <v>47770199</v>
      </c>
      <c r="B298" s="638" t="s">
        <v>628</v>
      </c>
      <c r="C298" s="640">
        <v>1153.5999999999999</v>
      </c>
      <c r="D298" s="311"/>
      <c r="E298" s="305">
        <f>SUMIF(Adjustments!A:A,A298,Adjustments!C:C)</f>
        <v>0</v>
      </c>
      <c r="F298" s="280">
        <f t="shared" si="3"/>
        <v>1153.5999999999999</v>
      </c>
      <c r="G298" s="263" t="str">
        <f>VLOOKUP('Trial Balance'!$A298,'Code Allocation'!$A:$D,3,0)</f>
        <v>CRA</v>
      </c>
      <c r="H298" s="266" t="str">
        <f>VLOOKUP('Trial Balance'!$A298,'Code Allocation'!$A:$D,4,0)</f>
        <v>Democratic Representation</v>
      </c>
      <c r="I298" s="267" t="str">
        <f>VLOOKUP('Trial Balance'!$A298,'Code Allocation'!$A:$E,5,0)</f>
        <v>Supplies and Services</v>
      </c>
      <c r="J298" s="268" t="str">
        <f>VLOOKUP('Trial Balance'!$A298,'Code Allocation'!$A:$F,6,0)</f>
        <v>Members Expenses</v>
      </c>
    </row>
    <row r="299" spans="1:10" ht="15" hidden="1" customHeight="1" x14ac:dyDescent="0.3">
      <c r="A299" s="638">
        <v>47780199</v>
      </c>
      <c r="B299" s="638" t="s">
        <v>629</v>
      </c>
      <c r="C299" s="638">
        <v>271.12</v>
      </c>
      <c r="D299" s="311"/>
      <c r="E299" s="305">
        <f>SUMIF(Adjustments!A:A,A299,Adjustments!C:C)</f>
        <v>0</v>
      </c>
      <c r="F299" s="280">
        <f t="shared" si="3"/>
        <v>271.12</v>
      </c>
      <c r="G299" s="263" t="str">
        <f>VLOOKUP('Trial Balance'!$A299,'Code Allocation'!$A:$D,3,0)</f>
        <v>CRA</v>
      </c>
      <c r="H299" s="266" t="str">
        <f>VLOOKUP('Trial Balance'!$A299,'Code Allocation'!$A:$D,4,0)</f>
        <v>Democratic Representation</v>
      </c>
      <c r="I299" s="267" t="str">
        <f>VLOOKUP('Trial Balance'!$A299,'Code Allocation'!$A:$E,5,0)</f>
        <v>Supplies and Services</v>
      </c>
      <c r="J299" s="268" t="str">
        <f>VLOOKUP('Trial Balance'!$A299,'Code Allocation'!$A:$F,6,0)</f>
        <v>Council Gifts</v>
      </c>
    </row>
    <row r="300" spans="1:10" ht="15" hidden="1" customHeight="1" x14ac:dyDescent="0.3">
      <c r="A300" s="638">
        <v>47900199</v>
      </c>
      <c r="B300" s="638" t="s">
        <v>630</v>
      </c>
      <c r="C300" s="638">
        <v>460</v>
      </c>
      <c r="D300" s="311"/>
      <c r="E300" s="305">
        <f>SUMIF(Adjustments!A:A,A300,Adjustments!C:C)</f>
        <v>0</v>
      </c>
      <c r="F300" s="280">
        <f t="shared" ref="F300:F363" si="4">C300-D300+E300</f>
        <v>460</v>
      </c>
      <c r="G300" s="263" t="str">
        <f>VLOOKUP('Trial Balance'!$A300,'Code Allocation'!$A:$D,3,0)</f>
        <v>CRA</v>
      </c>
      <c r="H300" s="266" t="str">
        <f>VLOOKUP('Trial Balance'!$A300,'Code Allocation'!$A:$D,4,0)</f>
        <v>Corporate Management</v>
      </c>
      <c r="I300" s="267" t="str">
        <f>VLOOKUP('Trial Balance'!$A300,'Code Allocation'!$A:$E,5,0)</f>
        <v>Third Party Payments</v>
      </c>
      <c r="J300" s="268" t="str">
        <f>VLOOKUP('Trial Balance'!$A300,'Code Allocation'!$A:$F,6,0)</f>
        <v>Subscriptions &amp; Donations</v>
      </c>
    </row>
    <row r="301" spans="1:10" ht="15" hidden="1" customHeight="1" x14ac:dyDescent="0.3">
      <c r="A301" s="638">
        <v>47910199</v>
      </c>
      <c r="B301" s="638" t="s">
        <v>631</v>
      </c>
      <c r="C301" s="638">
        <v>75</v>
      </c>
      <c r="D301" s="311"/>
      <c r="E301" s="305">
        <f>SUMIF(Adjustments!A:A,A301,Adjustments!C:C)</f>
        <v>0</v>
      </c>
      <c r="F301" s="280">
        <f t="shared" si="4"/>
        <v>75</v>
      </c>
      <c r="G301" s="263" t="str">
        <f>VLOOKUP('Trial Balance'!$A301,'Code Allocation'!$A:$D,3,0)</f>
        <v>CRA</v>
      </c>
      <c r="H301" s="266" t="str">
        <f>VLOOKUP('Trial Balance'!$A301,'Code Allocation'!$A:$D,4,0)</f>
        <v>Corporate Management</v>
      </c>
      <c r="I301" s="267" t="str">
        <f>VLOOKUP('Trial Balance'!$A301,'Code Allocation'!$A:$E,5,0)</f>
        <v>Third Party Payments</v>
      </c>
      <c r="J301" s="268" t="str">
        <f>VLOOKUP('Trial Balance'!$A301,'Code Allocation'!$A:$F,6,0)</f>
        <v>Subscriptions &amp; Donations</v>
      </c>
    </row>
    <row r="302" spans="1:10" ht="15" hidden="1" customHeight="1" x14ac:dyDescent="0.3">
      <c r="A302" s="638">
        <v>48000199</v>
      </c>
      <c r="B302" s="638" t="s">
        <v>632</v>
      </c>
      <c r="C302" s="311"/>
      <c r="D302" s="640">
        <v>5081.8599999999997</v>
      </c>
      <c r="E302" s="305">
        <f>SUMIF(Adjustments!A:A,A302,Adjustments!C:C)</f>
        <v>0</v>
      </c>
      <c r="F302" s="280">
        <f t="shared" si="4"/>
        <v>-5081.8599999999997</v>
      </c>
      <c r="G302" s="263" t="str">
        <f>VLOOKUP('Trial Balance'!$A302,'Code Allocation'!$A:$D,3,0)</f>
        <v>CRA</v>
      </c>
      <c r="H302" s="266" t="str">
        <f>VLOOKUP('Trial Balance'!$A302,'Code Allocation'!$A:$D,4,0)</f>
        <v>section 137 expenses</v>
      </c>
      <c r="I302" s="267" t="str">
        <f>VLOOKUP('Trial Balance'!$A302,'Code Allocation'!$A:$E,5,0)</f>
        <v>Third Party Payments</v>
      </c>
      <c r="J302" s="268" t="str">
        <f>VLOOKUP('Trial Balance'!$A302,'Code Allocation'!$A:$F,6,0)</f>
        <v>Section 137 Expenses</v>
      </c>
    </row>
    <row r="303" spans="1:10" ht="15" hidden="1" customHeight="1" x14ac:dyDescent="0.3">
      <c r="A303" s="638">
        <v>48100199</v>
      </c>
      <c r="B303" s="638" t="s">
        <v>633</v>
      </c>
      <c r="C303" s="640">
        <v>1387.08</v>
      </c>
      <c r="D303" s="311"/>
      <c r="E303" s="305">
        <f>SUMIF(Adjustments!A:A,A303,Adjustments!C:C)</f>
        <v>0</v>
      </c>
      <c r="F303" s="280">
        <f t="shared" si="4"/>
        <v>1387.08</v>
      </c>
      <c r="G303" s="263" t="str">
        <f>VLOOKUP('Trial Balance'!$A303,'Code Allocation'!$A:$D,3,0)</f>
        <v>CRA</v>
      </c>
      <c r="H303" s="266" t="str">
        <f>VLOOKUP('Trial Balance'!$A303,'Code Allocation'!$A:$D,4,0)</f>
        <v>Non-Rechargeable Administration</v>
      </c>
      <c r="I303" s="267" t="str">
        <f>VLOOKUP('Trial Balance'!$A303,'Code Allocation'!$A:$E,5,0)</f>
        <v>Supplies and Services</v>
      </c>
      <c r="J303" s="268" t="str">
        <f>VLOOKUP('Trial Balance'!$A303,'Code Allocation'!$A:$F,6,0)</f>
        <v>Insurance</v>
      </c>
    </row>
    <row r="304" spans="1:10" ht="15" hidden="1" customHeight="1" x14ac:dyDescent="0.3">
      <c r="A304" s="638">
        <v>48110101</v>
      </c>
      <c r="B304" s="638" t="s">
        <v>634</v>
      </c>
      <c r="C304" s="640">
        <v>1304.1500000000001</v>
      </c>
      <c r="D304" s="311"/>
      <c r="E304" s="305">
        <f>SUMIF(Adjustments!A:A,A304,Adjustments!C:C)</f>
        <v>0</v>
      </c>
      <c r="F304" s="280">
        <f t="shared" si="4"/>
        <v>1304.1500000000001</v>
      </c>
      <c r="G304" s="263" t="str">
        <f>VLOOKUP('Trial Balance'!$A304,'Code Allocation'!$A:$D,3,0)</f>
        <v>CRA</v>
      </c>
      <c r="H304" s="266" t="str">
        <f>VLOOKUP('Trial Balance'!$A304,'Code Allocation'!$A:$D,4,0)</f>
        <v>Non-Rechargeable Administration</v>
      </c>
      <c r="I304" s="267" t="str">
        <f>VLOOKUP('Trial Balance'!$A304,'Code Allocation'!$A:$E,5,0)</f>
        <v>Supplies and Services</v>
      </c>
      <c r="J304" s="268" t="str">
        <f>VLOOKUP('Trial Balance'!$A304,'Code Allocation'!$A:$F,6,0)</f>
        <v>Printing &amp; Stationery</v>
      </c>
    </row>
    <row r="305" spans="1:10" ht="15" hidden="1" customHeight="1" x14ac:dyDescent="0.3">
      <c r="A305" s="638">
        <v>48110199</v>
      </c>
      <c r="B305" s="638" t="s">
        <v>635</v>
      </c>
      <c r="C305" s="640">
        <v>2284</v>
      </c>
      <c r="D305" s="311"/>
      <c r="E305" s="305">
        <f>SUMIF(Adjustments!A:A,A305,Adjustments!C:C)</f>
        <v>0</v>
      </c>
      <c r="F305" s="280">
        <f t="shared" si="4"/>
        <v>2284</v>
      </c>
      <c r="G305" s="263" t="str">
        <f>VLOOKUP('Trial Balance'!$A305,'Code Allocation'!$A:$D,3,0)</f>
        <v>CRA</v>
      </c>
      <c r="H305" s="266" t="str">
        <f>VLOOKUP('Trial Balance'!$A305,'Code Allocation'!$A:$D,4,0)</f>
        <v>Non-Rechargeable Administration</v>
      </c>
      <c r="I305" s="267" t="str">
        <f>VLOOKUP('Trial Balance'!$A305,'Code Allocation'!$A:$E,5,0)</f>
        <v>Supplies and Services</v>
      </c>
      <c r="J305" s="268" t="str">
        <f>VLOOKUP('Trial Balance'!$A305,'Code Allocation'!$A:$F,6,0)</f>
        <v>Printing &amp; Stationery</v>
      </c>
    </row>
    <row r="306" spans="1:10" ht="15" hidden="1" customHeight="1" x14ac:dyDescent="0.3">
      <c r="A306" s="638">
        <v>48120101</v>
      </c>
      <c r="B306" s="638" t="s">
        <v>636</v>
      </c>
      <c r="C306" s="640">
        <v>3611.89</v>
      </c>
      <c r="D306" s="311"/>
      <c r="E306" s="305">
        <f>SUMIF(Adjustments!A:A,A306,Adjustments!C:C)</f>
        <v>0</v>
      </c>
      <c r="F306" s="280">
        <f t="shared" si="4"/>
        <v>3611.89</v>
      </c>
      <c r="G306" s="263" t="str">
        <f>VLOOKUP('Trial Balance'!$A306,'Code Allocation'!$A:$D,3,0)</f>
        <v>CRA</v>
      </c>
      <c r="H306" s="266" t="str">
        <f>VLOOKUP('Trial Balance'!$A306,'Code Allocation'!$A:$D,4,0)</f>
        <v>Non-Rechargeable Administration</v>
      </c>
      <c r="I306" s="267" t="str">
        <f>VLOOKUP('Trial Balance'!$A306,'Code Allocation'!$A:$E,5,0)</f>
        <v>Supplies and Services</v>
      </c>
      <c r="J306" s="268" t="str">
        <f>VLOOKUP('Trial Balance'!$A306,'Code Allocation'!$A:$F,6,0)</f>
        <v>Office Equipment</v>
      </c>
    </row>
    <row r="307" spans="1:10" ht="15" hidden="1" customHeight="1" x14ac:dyDescent="0.3">
      <c r="A307" s="638">
        <v>48130101</v>
      </c>
      <c r="B307" s="638" t="s">
        <v>637</v>
      </c>
      <c r="C307" s="638">
        <v>108</v>
      </c>
      <c r="D307" s="311"/>
      <c r="E307" s="305">
        <f>SUMIF(Adjustments!A:A,A307,Adjustments!C:C)</f>
        <v>0</v>
      </c>
      <c r="F307" s="280">
        <f t="shared" si="4"/>
        <v>108</v>
      </c>
      <c r="G307" s="263" t="str">
        <f>VLOOKUP('Trial Balance'!$A307,'Code Allocation'!$A:$D,3,0)</f>
        <v>CRA</v>
      </c>
      <c r="H307" s="266" t="str">
        <f>VLOOKUP('Trial Balance'!$A307,'Code Allocation'!$A:$D,4,0)</f>
        <v>Non-Rechargeable Administration</v>
      </c>
      <c r="I307" s="267" t="str">
        <f>VLOOKUP('Trial Balance'!$A307,'Code Allocation'!$A:$E,5,0)</f>
        <v>Supplies and Services</v>
      </c>
      <c r="J307" s="268" t="str">
        <f>VLOOKUP('Trial Balance'!$A307,'Code Allocation'!$A:$F,6,0)</f>
        <v>Books &amp; Publications</v>
      </c>
    </row>
    <row r="308" spans="1:10" ht="15" hidden="1" customHeight="1" x14ac:dyDescent="0.3">
      <c r="A308" s="638">
        <v>48140101</v>
      </c>
      <c r="B308" s="638" t="s">
        <v>638</v>
      </c>
      <c r="C308" s="640">
        <v>2473.12</v>
      </c>
      <c r="D308" s="311"/>
      <c r="E308" s="305">
        <f>SUMIF(Adjustments!A:A,A308,Adjustments!C:C)</f>
        <v>0</v>
      </c>
      <c r="F308" s="280">
        <f t="shared" si="4"/>
        <v>2473.12</v>
      </c>
      <c r="G308" s="263" t="str">
        <f>VLOOKUP('Trial Balance'!$A308,'Code Allocation'!$A:$D,3,0)</f>
        <v>CRA</v>
      </c>
      <c r="H308" s="266" t="str">
        <f>VLOOKUP('Trial Balance'!$A308,'Code Allocation'!$A:$D,4,0)</f>
        <v>Non-Rechargeable Administration</v>
      </c>
      <c r="I308" s="267" t="str">
        <f>VLOOKUP('Trial Balance'!$A308,'Code Allocation'!$A:$E,5,0)</f>
        <v>Supplies and Services</v>
      </c>
      <c r="J308" s="268" t="str">
        <f>VLOOKUP('Trial Balance'!$A308,'Code Allocation'!$A:$F,6,0)</f>
        <v>PC Maintenance &amp; Consumables</v>
      </c>
    </row>
    <row r="309" spans="1:10" ht="15" hidden="1" customHeight="1" x14ac:dyDescent="0.3">
      <c r="A309" s="638">
        <v>48150199</v>
      </c>
      <c r="B309" s="638" t="s">
        <v>443</v>
      </c>
      <c r="C309" s="311"/>
      <c r="D309" s="638">
        <v>751.2</v>
      </c>
      <c r="E309" s="305">
        <f>SUMIF(Adjustments!A:A,A309,Adjustments!C:C)</f>
        <v>0</v>
      </c>
      <c r="F309" s="280">
        <f t="shared" si="4"/>
        <v>-751.2</v>
      </c>
      <c r="G309" s="263" t="str">
        <f>VLOOKUP('Trial Balance'!$A309,'Code Allocation'!$A:$D,3,0)</f>
        <v>CRA</v>
      </c>
      <c r="H309" s="266" t="str">
        <f>VLOOKUP('Trial Balance'!$A309,'Code Allocation'!$A:$D,4,0)</f>
        <v>Non-Rechargeable Administration</v>
      </c>
      <c r="I309" s="267" t="str">
        <f>VLOOKUP('Trial Balance'!$A309,'Code Allocation'!$A:$E,5,0)</f>
        <v>Supplies and Services</v>
      </c>
      <c r="J309" s="268" t="str">
        <f>VLOOKUP('Trial Balance'!$A309,'Code Allocation'!$A:$F,6,0)</f>
        <v>Advertising</v>
      </c>
    </row>
    <row r="310" spans="1:10" ht="15" hidden="1" customHeight="1" x14ac:dyDescent="0.3">
      <c r="A310" s="638">
        <v>48160199</v>
      </c>
      <c r="B310" s="638" t="s">
        <v>639</v>
      </c>
      <c r="C310" s="638">
        <v>53.83</v>
      </c>
      <c r="D310" s="311"/>
      <c r="E310" s="305">
        <f>SUMIF(Adjustments!A:A,A310,Adjustments!C:C)</f>
        <v>0</v>
      </c>
      <c r="F310" s="280">
        <f t="shared" si="4"/>
        <v>53.83</v>
      </c>
      <c r="G310" s="263" t="str">
        <f>VLOOKUP('Trial Balance'!$A310,'Code Allocation'!$A:$D,3,0)</f>
        <v>CRA</v>
      </c>
      <c r="H310" s="266" t="str">
        <f>VLOOKUP('Trial Balance'!$A310,'Code Allocation'!$A:$D,4,0)</f>
        <v>Non-Rechargeable Administration</v>
      </c>
      <c r="I310" s="267" t="str">
        <f>VLOOKUP('Trial Balance'!$A310,'Code Allocation'!$A:$E,5,0)</f>
        <v>Supplies and Services</v>
      </c>
      <c r="J310" s="268" t="str">
        <f>VLOOKUP('Trial Balance'!$A310,'Code Allocation'!$A:$F,6,0)</f>
        <v>Advertising</v>
      </c>
    </row>
    <row r="311" spans="1:10" ht="15" hidden="1" customHeight="1" x14ac:dyDescent="0.3">
      <c r="A311" s="638">
        <v>48180199</v>
      </c>
      <c r="B311" s="638" t="s">
        <v>640</v>
      </c>
      <c r="C311" s="640">
        <v>2030.63</v>
      </c>
      <c r="D311" s="311"/>
      <c r="E311" s="305">
        <f>SUMIF(Adjustments!A:A,A311,Adjustments!C:C)</f>
        <v>0</v>
      </c>
      <c r="F311" s="280">
        <f t="shared" si="4"/>
        <v>2030.63</v>
      </c>
      <c r="G311" s="263" t="str">
        <f>VLOOKUP('Trial Balance'!$A311,'Code Allocation'!$A:$D,3,0)</f>
        <v>CRA</v>
      </c>
      <c r="H311" s="266" t="str">
        <f>VLOOKUP('Trial Balance'!$A311,'Code Allocation'!$A:$D,4,0)</f>
        <v>Non-Rechargeable Administration</v>
      </c>
      <c r="I311" s="267" t="str">
        <f>VLOOKUP('Trial Balance'!$A311,'Code Allocation'!$A:$E,5,0)</f>
        <v>Supplies and Services</v>
      </c>
      <c r="J311" s="268" t="str">
        <f>VLOOKUP('Trial Balance'!$A311,'Code Allocation'!$A:$F,6,0)</f>
        <v>subscriptions (professional bodies)</v>
      </c>
    </row>
    <row r="312" spans="1:10" ht="15" hidden="1" customHeight="1" x14ac:dyDescent="0.3">
      <c r="A312" s="638">
        <v>48190101</v>
      </c>
      <c r="B312" s="638" t="s">
        <v>641</v>
      </c>
      <c r="C312" s="640">
        <v>1872.45</v>
      </c>
      <c r="D312" s="311"/>
      <c r="E312" s="305">
        <f>SUMIF(Adjustments!A:A,A312,Adjustments!C:C)</f>
        <v>0</v>
      </c>
      <c r="F312" s="280">
        <f t="shared" si="4"/>
        <v>1872.45</v>
      </c>
      <c r="G312" s="263" t="str">
        <f>VLOOKUP('Trial Balance'!$A312,'Code Allocation'!$A:$D,3,0)</f>
        <v>CRA</v>
      </c>
      <c r="H312" s="266" t="str">
        <f>VLOOKUP('Trial Balance'!$A312,'Code Allocation'!$A:$D,4,0)</f>
        <v>Non-Rechargeable Administration</v>
      </c>
      <c r="I312" s="267" t="str">
        <f>VLOOKUP('Trial Balance'!$A312,'Code Allocation'!$A:$E,5,0)</f>
        <v>Supplies and Services</v>
      </c>
      <c r="J312" s="268" t="str">
        <f>VLOOKUP('Trial Balance'!$A312,'Code Allocation'!$A:$F,6,0)</f>
        <v>Postage</v>
      </c>
    </row>
    <row r="313" spans="1:10" ht="15" hidden="1" customHeight="1" x14ac:dyDescent="0.3">
      <c r="A313" s="638">
        <v>48200101</v>
      </c>
      <c r="B313" s="638" t="s">
        <v>642</v>
      </c>
      <c r="C313" s="640">
        <v>1566.85</v>
      </c>
      <c r="D313" s="311"/>
      <c r="E313" s="305">
        <f>SUMIF(Adjustments!A:A,A313,Adjustments!C:C)</f>
        <v>0</v>
      </c>
      <c r="F313" s="280">
        <f t="shared" si="4"/>
        <v>1566.85</v>
      </c>
      <c r="G313" s="263" t="str">
        <f>VLOOKUP('Trial Balance'!$A313,'Code Allocation'!$A:$D,3,0)</f>
        <v>CRA</v>
      </c>
      <c r="H313" s="266" t="str">
        <f>VLOOKUP('Trial Balance'!$A313,'Code Allocation'!$A:$D,4,0)</f>
        <v>Non-Rechargeable Administration</v>
      </c>
      <c r="I313" s="267" t="str">
        <f>VLOOKUP('Trial Balance'!$A313,'Code Allocation'!$A:$E,5,0)</f>
        <v>Supplies and Services</v>
      </c>
      <c r="J313" s="268" t="str">
        <f>VLOOKUP('Trial Balance'!$A313,'Code Allocation'!$A:$F,6,0)</f>
        <v>Franking Machine</v>
      </c>
    </row>
    <row r="314" spans="1:10" ht="15" hidden="1" customHeight="1" x14ac:dyDescent="0.3">
      <c r="A314" s="638">
        <v>48210199</v>
      </c>
      <c r="B314" s="638" t="s">
        <v>643</v>
      </c>
      <c r="C314" s="638">
        <v>742.16</v>
      </c>
      <c r="D314" s="311"/>
      <c r="E314" s="305">
        <f>SUMIF(Adjustments!A:A,A314,Adjustments!C:C)</f>
        <v>0</v>
      </c>
      <c r="F314" s="280">
        <f t="shared" si="4"/>
        <v>742.16</v>
      </c>
      <c r="G314" s="263" t="str">
        <f>VLOOKUP('Trial Balance'!$A314,'Code Allocation'!$A:$D,3,0)</f>
        <v>CRA</v>
      </c>
      <c r="H314" s="266" t="str">
        <f>VLOOKUP('Trial Balance'!$A314,'Code Allocation'!$A:$D,4,0)</f>
        <v>Corporate Management</v>
      </c>
      <c r="I314" s="267" t="str">
        <f>VLOOKUP('Trial Balance'!$A314,'Code Allocation'!$A:$E,5,0)</f>
        <v>Third Party Payments</v>
      </c>
      <c r="J314" s="268" t="str">
        <f>VLOOKUP('Trial Balance'!$A314,'Code Allocation'!$A:$F,6,0)</f>
        <v>Audit/Best Value Fee</v>
      </c>
    </row>
    <row r="315" spans="1:10" ht="15" hidden="1" customHeight="1" x14ac:dyDescent="0.3">
      <c r="A315" s="638">
        <v>48220101</v>
      </c>
      <c r="B315" s="638" t="s">
        <v>644</v>
      </c>
      <c r="C315" s="640">
        <v>4450</v>
      </c>
      <c r="D315" s="311"/>
      <c r="E315" s="305">
        <f>SUMIF(Adjustments!A:A,A315,Adjustments!C:C)</f>
        <v>0</v>
      </c>
      <c r="F315" s="280">
        <f t="shared" si="4"/>
        <v>4450</v>
      </c>
      <c r="G315" s="263" t="str">
        <f>VLOOKUP('Trial Balance'!$A315,'Code Allocation'!$A:$D,3,0)</f>
        <v>CRA</v>
      </c>
      <c r="H315" s="266" t="str">
        <f>VLOOKUP('Trial Balance'!$A315,'Code Allocation'!$A:$D,4,0)</f>
        <v>Non-Rechargeable Administration</v>
      </c>
      <c r="I315" s="267" t="str">
        <f>VLOOKUP('Trial Balance'!$A315,'Code Allocation'!$A:$E,5,0)</f>
        <v>Supplies and Services</v>
      </c>
      <c r="J315" s="268" t="str">
        <f>VLOOKUP('Trial Balance'!$A315,'Code Allocation'!$A:$F,6,0)</f>
        <v>Legal/Professional Fees</v>
      </c>
    </row>
    <row r="316" spans="1:10" ht="15" hidden="1" customHeight="1" x14ac:dyDescent="0.3">
      <c r="A316" s="638">
        <v>48220199</v>
      </c>
      <c r="B316" s="638" t="s">
        <v>645</v>
      </c>
      <c r="C316" s="638">
        <v>291</v>
      </c>
      <c r="D316" s="311"/>
      <c r="E316" s="305">
        <f>SUMIF(Adjustments!A:A,A316,Adjustments!C:C)</f>
        <v>0</v>
      </c>
      <c r="F316" s="280">
        <f t="shared" si="4"/>
        <v>291</v>
      </c>
      <c r="G316" s="263" t="str">
        <f>VLOOKUP('Trial Balance'!$A316,'Code Allocation'!$A:$D,3,0)</f>
        <v>CRA</v>
      </c>
      <c r="H316" s="266" t="str">
        <f>VLOOKUP('Trial Balance'!$A316,'Code Allocation'!$A:$D,4,0)</f>
        <v>Non-Rechargeable Administration</v>
      </c>
      <c r="I316" s="267" t="str">
        <f>VLOOKUP('Trial Balance'!$A316,'Code Allocation'!$A:$E,5,0)</f>
        <v>Supplies and Services</v>
      </c>
      <c r="J316" s="268" t="str">
        <f>VLOOKUP('Trial Balance'!$A316,'Code Allocation'!$A:$F,6,0)</f>
        <v>Legal/Professional Fees</v>
      </c>
    </row>
    <row r="317" spans="1:10" ht="15" hidden="1" customHeight="1" x14ac:dyDescent="0.3">
      <c r="A317" s="638">
        <v>48300199</v>
      </c>
      <c r="B317" s="638" t="s">
        <v>646</v>
      </c>
      <c r="C317" s="311"/>
      <c r="D317" s="638">
        <v>940.34</v>
      </c>
      <c r="E317" s="305">
        <f>SUMIF(Adjustments!A:A,A317,Adjustments!C:C)</f>
        <v>0</v>
      </c>
      <c r="F317" s="280">
        <f t="shared" si="4"/>
        <v>-940.34</v>
      </c>
      <c r="G317" s="263" t="str">
        <f>VLOOKUP('Trial Balance'!$A317,'Code Allocation'!$A:$D,3,0)</f>
        <v>CRA</v>
      </c>
      <c r="H317" s="266" t="str">
        <f>VLOOKUP('Trial Balance'!$A317,'Code Allocation'!$A:$D,4,0)</f>
        <v>Corporate Management</v>
      </c>
      <c r="I317" s="267" t="str">
        <f>VLOOKUP('Trial Balance'!$A317,'Code Allocation'!$A:$E,5,0)</f>
        <v>supplies and services</v>
      </c>
      <c r="J317" s="268" t="str">
        <f>VLOOKUP('Trial Balance'!$A317,'Code Allocation'!$A:$F,6,0)</f>
        <v>Bank Charges</v>
      </c>
    </row>
    <row r="318" spans="1:10" ht="15" hidden="1" customHeight="1" x14ac:dyDescent="0.3">
      <c r="A318" s="638">
        <v>48420199</v>
      </c>
      <c r="B318" s="638" t="s">
        <v>647</v>
      </c>
      <c r="C318" s="638">
        <v>689</v>
      </c>
      <c r="D318" s="311"/>
      <c r="E318" s="305">
        <f>SUMIF(Adjustments!A:A,A318,Adjustments!C:C)</f>
        <v>0</v>
      </c>
      <c r="F318" s="280">
        <f t="shared" si="4"/>
        <v>689</v>
      </c>
      <c r="G318" s="263" t="str">
        <f>VLOOKUP('Trial Balance'!$A318,'Code Allocation'!$A:$D,3,0)</f>
        <v>CRA</v>
      </c>
      <c r="H318" s="266" t="str">
        <f>VLOOKUP('Trial Balance'!$A318,'Code Allocation'!$A:$D,4,0)</f>
        <v>Corporate Management</v>
      </c>
      <c r="I318" s="267" t="str">
        <f>VLOOKUP('Trial Balance'!$A318,'Code Allocation'!$A:$E,5,0)</f>
        <v>Supplies and Services</v>
      </c>
      <c r="J318" s="268" t="str">
        <f>VLOOKUP('Trial Balance'!$A318,'Code Allocation'!$A:$F,6,0)</f>
        <v>Christmas Lighting</v>
      </c>
    </row>
    <row r="319" spans="1:10" ht="15" hidden="1" customHeight="1" x14ac:dyDescent="0.3">
      <c r="A319" s="638">
        <v>48430199</v>
      </c>
      <c r="B319" s="638" t="s">
        <v>648</v>
      </c>
      <c r="C319" s="640">
        <v>1109.5</v>
      </c>
      <c r="D319" s="311"/>
      <c r="E319" s="305">
        <f>SUMIF(Adjustments!A:A,A319,Adjustments!C:C)</f>
        <v>0</v>
      </c>
      <c r="F319" s="280">
        <f t="shared" si="4"/>
        <v>1109.5</v>
      </c>
      <c r="G319" s="263" t="str">
        <f>VLOOKUP('Trial Balance'!$A319,'Code Allocation'!$A:$D,3,0)</f>
        <v>Not allocated</v>
      </c>
      <c r="H319" s="266" t="str">
        <f>VLOOKUP('Trial Balance'!$A319,'Code Allocation'!$A:$D,4,0)</f>
        <v>Not allocated</v>
      </c>
      <c r="I319" s="267">
        <f>VLOOKUP('Trial Balance'!$A319,'Code Allocation'!$A:$E,5,0)</f>
        <v>0</v>
      </c>
      <c r="J319" s="268">
        <f>VLOOKUP('Trial Balance'!$A319,'Code Allocation'!$A:$F,6,0)</f>
        <v>0</v>
      </c>
    </row>
    <row r="320" spans="1:10" ht="15" hidden="1" customHeight="1" x14ac:dyDescent="0.3">
      <c r="A320" s="638">
        <v>48440199</v>
      </c>
      <c r="B320" s="638" t="s">
        <v>649</v>
      </c>
      <c r="C320" s="638">
        <v>18.5</v>
      </c>
      <c r="D320" s="311"/>
      <c r="E320" s="305">
        <f>SUMIF(Adjustments!A:A,A320,Adjustments!C:C)</f>
        <v>0</v>
      </c>
      <c r="F320" s="280">
        <f t="shared" si="4"/>
        <v>18.5</v>
      </c>
      <c r="G320" s="263" t="str">
        <f>VLOOKUP('Trial Balance'!$A320,'Code Allocation'!$A:$D,3,0)</f>
        <v>CRA</v>
      </c>
      <c r="H320" s="266" t="str">
        <f>VLOOKUP('Trial Balance'!$A320,'Code Allocation'!$A:$D,4,0)</f>
        <v>Democratic Representation</v>
      </c>
      <c r="I320" s="267" t="str">
        <f>VLOOKUP('Trial Balance'!$A320,'Code Allocation'!$A:$E,5,0)</f>
        <v>Supplies and Services</v>
      </c>
      <c r="J320" s="268" t="str">
        <f>VLOOKUP('Trial Balance'!$A320,'Code Allocation'!$A:$F,6,0)</f>
        <v>Remembrance Sunday</v>
      </c>
    </row>
    <row r="321" spans="1:10" ht="15" hidden="1" customHeight="1" x14ac:dyDescent="0.3">
      <c r="A321" s="638">
        <v>48510299</v>
      </c>
      <c r="B321" s="638" t="s">
        <v>650</v>
      </c>
      <c r="C321" s="640">
        <v>9871.36</v>
      </c>
      <c r="D321" s="311"/>
      <c r="E321" s="305">
        <f>SUMIF(Adjustments!A:A,A321,Adjustments!C:C)</f>
        <v>0</v>
      </c>
      <c r="F321" s="280">
        <f t="shared" si="4"/>
        <v>9871.36</v>
      </c>
      <c r="G321" s="263" t="str">
        <f>VLOOKUP('Trial Balance'!$A321,'Code Allocation'!$A:$D,3,0)</f>
        <v>CRA</v>
      </c>
      <c r="H321" s="266" t="str">
        <f>VLOOKUP('Trial Balance'!$A321,'Code Allocation'!$A:$D,4,0)</f>
        <v>CHECK</v>
      </c>
      <c r="I321" s="267" t="str">
        <f>VLOOKUP('Trial Balance'!$A321,'Code Allocation'!$A:$E,5,0)</f>
        <v>CHECK</v>
      </c>
      <c r="J321" s="268" t="str">
        <f>VLOOKUP('Trial Balance'!$A321,'Code Allocation'!$A:$F,6,0)</f>
        <v>CHECK</v>
      </c>
    </row>
    <row r="322" spans="1:10" ht="15" hidden="1" customHeight="1" x14ac:dyDescent="0.3">
      <c r="A322" s="638">
        <v>48680101</v>
      </c>
      <c r="B322" s="638" t="s">
        <v>651</v>
      </c>
      <c r="C322" s="638">
        <v>85</v>
      </c>
      <c r="D322" s="311"/>
      <c r="E322" s="305">
        <f>SUMIF(Adjustments!A:A,A322,Adjustments!C:C)</f>
        <v>0</v>
      </c>
      <c r="F322" s="280">
        <f t="shared" si="4"/>
        <v>85</v>
      </c>
      <c r="G322" s="263" t="str">
        <f>VLOOKUP('Trial Balance'!$A322,'Code Allocation'!$A:$D,3,0)</f>
        <v>CRA</v>
      </c>
      <c r="H322" s="266" t="str">
        <f>VLOOKUP('Trial Balance'!$A322,'Code Allocation'!$A:$D,4,0)</f>
        <v>Non-Rechargeable Administration</v>
      </c>
      <c r="I322" s="267" t="str">
        <f>VLOOKUP('Trial Balance'!$A322,'Code Allocation'!$A:$E,5,0)</f>
        <v>Supplies and Services</v>
      </c>
      <c r="J322" s="268" t="str">
        <f>VLOOKUP('Trial Balance'!$A322,'Code Allocation'!$A:$F,6,0)</f>
        <v>Council Offices Extension</v>
      </c>
    </row>
    <row r="323" spans="1:10" ht="15" hidden="1" customHeight="1" x14ac:dyDescent="0.3">
      <c r="A323" s="638">
        <v>49300199</v>
      </c>
      <c r="B323" s="638" t="s">
        <v>652</v>
      </c>
      <c r="C323" s="311"/>
      <c r="D323" s="640">
        <v>19506.47</v>
      </c>
      <c r="E323" s="305">
        <f>SUMIF(Adjustments!A:A,A323,Adjustments!C:C)</f>
        <v>0</v>
      </c>
      <c r="F323" s="280">
        <f t="shared" si="4"/>
        <v>-19506.47</v>
      </c>
      <c r="G323" s="263" t="str">
        <f>VLOOKUP('Trial Balance'!$A323,'Code Allocation'!$A:$D,3,0)</f>
        <v>CRA</v>
      </c>
      <c r="H323" s="266" t="str">
        <f>VLOOKUP('Trial Balance'!$A323,'Code Allocation'!$A:$D,4,0)</f>
        <v>Interest Payable</v>
      </c>
      <c r="I323" s="267" t="str">
        <f>VLOOKUP('Trial Balance'!$A323,'Code Allocation'!$A:$E,5,0)</f>
        <v>Asset Management Revenue Account</v>
      </c>
      <c r="J323" s="268" t="str">
        <f>VLOOKUP('Trial Balance'!$A323,'Code Allocation'!$A:$F,6,0)</f>
        <v>Asset Management Revenue Account</v>
      </c>
    </row>
    <row r="324" spans="1:10" ht="15" hidden="1" customHeight="1" x14ac:dyDescent="0.3">
      <c r="A324" s="638">
        <v>57700199</v>
      </c>
      <c r="B324" s="638" t="s">
        <v>653</v>
      </c>
      <c r="C324" s="638">
        <v>250</v>
      </c>
      <c r="D324" s="311"/>
      <c r="E324" s="305">
        <f>SUMIF(Adjustments!A:A,A324,Adjustments!C:C)</f>
        <v>0</v>
      </c>
      <c r="F324" s="280">
        <f t="shared" si="4"/>
        <v>250</v>
      </c>
      <c r="G324" s="263" t="str">
        <f>VLOOKUP('Trial Balance'!$A324,'Code Allocation'!$A:$D,3,0)</f>
        <v>CRA</v>
      </c>
      <c r="H324" s="266" t="str">
        <f>VLOOKUP('Trial Balance'!$A324,'Code Allocation'!$A:$D,4,0)</f>
        <v>Twinning</v>
      </c>
      <c r="I324" s="267" t="str">
        <f>VLOOKUP('Trial Balance'!$A324,'Code Allocation'!$A:$E,5,0)</f>
        <v>Supplies and Services</v>
      </c>
      <c r="J324" s="268" t="str">
        <f>VLOOKUP('Trial Balance'!$A324,'Code Allocation'!$A:$F,6,0)</f>
        <v>Grants, Receptions etc</v>
      </c>
    </row>
    <row r="325" spans="1:10" ht="15" hidden="1" customHeight="1" x14ac:dyDescent="0.3">
      <c r="A325" s="638">
        <v>57920199</v>
      </c>
      <c r="B325" s="638" t="s">
        <v>654</v>
      </c>
      <c r="C325" s="638">
        <v>40.64</v>
      </c>
      <c r="D325" s="311"/>
      <c r="E325" s="305">
        <f>SUMIF(Adjustments!A:A,A325,Adjustments!C:C)</f>
        <v>0</v>
      </c>
      <c r="F325" s="280">
        <f t="shared" si="4"/>
        <v>40.64</v>
      </c>
      <c r="G325" s="263" t="str">
        <f>VLOOKUP('Trial Balance'!$A325,'Code Allocation'!$A:$D,3,0)</f>
        <v>CRA</v>
      </c>
      <c r="H325" s="266" t="str">
        <f>VLOOKUP('Trial Balance'!$A325,'Code Allocation'!$A:$D,4,0)</f>
        <v>Twinning</v>
      </c>
      <c r="I325" s="267" t="str">
        <f>VLOOKUP('Trial Balance'!$A325,'Code Allocation'!$A:$E,5,0)</f>
        <v>Supplies and Services</v>
      </c>
      <c r="J325" s="268" t="str">
        <f>VLOOKUP('Trial Balance'!$A325,'Code Allocation'!$A:$F,6,0)</f>
        <v>Grants, Receptions etc</v>
      </c>
    </row>
    <row r="326" spans="1:10" ht="15" hidden="1" customHeight="1" x14ac:dyDescent="0.3">
      <c r="A326" s="638">
        <v>57980199</v>
      </c>
      <c r="B326" s="638" t="s">
        <v>655</v>
      </c>
      <c r="C326" s="638">
        <v>18.5</v>
      </c>
      <c r="D326" s="311"/>
      <c r="E326" s="305">
        <f>SUMIF(Adjustments!A:A,A326,Adjustments!C:C)</f>
        <v>0</v>
      </c>
      <c r="F326" s="280">
        <f t="shared" si="4"/>
        <v>18.5</v>
      </c>
      <c r="G326" s="263" t="str">
        <f>VLOOKUP('Trial Balance'!$A326,'Code Allocation'!$A:$D,3,0)</f>
        <v>CRA</v>
      </c>
      <c r="H326" s="266" t="str">
        <f>VLOOKUP('Trial Balance'!$A326,'Code Allocation'!$A:$D,4,0)</f>
        <v>Twinning</v>
      </c>
      <c r="I326" s="267" t="str">
        <f>VLOOKUP('Trial Balance'!$A326,'Code Allocation'!$A:$E,5,0)</f>
        <v>Supplies and Services</v>
      </c>
      <c r="J326" s="268" t="str">
        <f>VLOOKUP('Trial Balance'!$A326,'Code Allocation'!$A:$F,6,0)</f>
        <v>Grants, Receptions etc</v>
      </c>
    </row>
    <row r="327" spans="1:10" ht="15" hidden="1" customHeight="1" x14ac:dyDescent="0.3">
      <c r="A327" s="638">
        <v>67600199</v>
      </c>
      <c r="B327" s="638" t="s">
        <v>656</v>
      </c>
      <c r="C327" s="638">
        <v>77</v>
      </c>
      <c r="D327" s="311"/>
      <c r="E327" s="305">
        <f>SUMIF(Adjustments!A:A,A327,Adjustments!C:C)</f>
        <v>0</v>
      </c>
      <c r="F327" s="280">
        <f t="shared" si="4"/>
        <v>77</v>
      </c>
      <c r="G327" s="263" t="str">
        <f>VLOOKUP('Trial Balance'!$A327,'Code Allocation'!$A:$D,3,0)</f>
        <v>CRA</v>
      </c>
      <c r="H327" s="266" t="str">
        <f>VLOOKUP('Trial Balance'!$A327,'Code Allocation'!$A:$D,4,0)</f>
        <v>Planning &amp; Environment</v>
      </c>
      <c r="I327" s="267" t="str">
        <f>VLOOKUP('Trial Balance'!$A327,'Code Allocation'!$A:$E,5,0)</f>
        <v>Supplies and Services</v>
      </c>
      <c r="J327" s="268" t="str">
        <f>VLOOKUP('Trial Balance'!$A327,'Code Allocation'!$A:$F,6,0)</f>
        <v>Community Planning</v>
      </c>
    </row>
    <row r="328" spans="1:10" ht="15" hidden="1" customHeight="1" x14ac:dyDescent="0.3">
      <c r="A328" s="638">
        <v>68140199</v>
      </c>
      <c r="B328" s="638" t="s">
        <v>657</v>
      </c>
      <c r="C328" s="638">
        <v>301.5</v>
      </c>
      <c r="D328" s="311"/>
      <c r="E328" s="305">
        <f>SUMIF(Adjustments!A:A,A328,Adjustments!C:C)</f>
        <v>0</v>
      </c>
      <c r="F328" s="280">
        <f t="shared" si="4"/>
        <v>301.5</v>
      </c>
      <c r="G328" s="263" t="str">
        <f>VLOOKUP('Trial Balance'!$A328,'Code Allocation'!$A:$D,3,0)</f>
        <v>CRA</v>
      </c>
      <c r="H328" s="266" t="str">
        <f>VLOOKUP('Trial Balance'!$A328,'Code Allocation'!$A:$D,4,0)</f>
        <v>Planning &amp; Environment</v>
      </c>
      <c r="I328" s="267" t="str">
        <f>VLOOKUP('Trial Balance'!$A328,'Code Allocation'!$A:$E,5,0)</f>
        <v>Supplies and Services</v>
      </c>
      <c r="J328" s="268" t="str">
        <f>VLOOKUP('Trial Balance'!$A328,'Code Allocation'!$A:$F,6,0)</f>
        <v>Software</v>
      </c>
    </row>
    <row r="329" spans="1:10" ht="15" hidden="1" customHeight="1" x14ac:dyDescent="0.3">
      <c r="A329" s="638">
        <v>74980199</v>
      </c>
      <c r="B329" s="638" t="s">
        <v>658</v>
      </c>
      <c r="C329" s="311"/>
      <c r="D329" s="638">
        <v>4.45</v>
      </c>
      <c r="E329" s="305">
        <f>SUMIF(Adjustments!A:A,A329,Adjustments!C:C)</f>
        <v>0</v>
      </c>
      <c r="F329" s="278">
        <f t="shared" si="4"/>
        <v>-4.45</v>
      </c>
      <c r="G329" s="263" t="str">
        <f>VLOOKUP('Trial Balance'!$A329,'Code Allocation'!$A:$D,3,0)</f>
        <v>CRA</v>
      </c>
      <c r="H329" s="266" t="str">
        <f>VLOOKUP('Trial Balance'!$A329,'Code Allocation'!$A:$D,4,0)</f>
        <v>Corporate Management</v>
      </c>
      <c r="I329" s="267" t="str">
        <f>VLOOKUP('Trial Balance'!$A329,'Code Allocation'!$A:$E,5,0)</f>
        <v>Customer &amp; Client Receipts</v>
      </c>
      <c r="J329" s="268" t="str">
        <f>VLOOKUP('Trial Balance'!$A329,'Code Allocation'!$A:$F,6,0)</f>
        <v>Sundry</v>
      </c>
    </row>
    <row r="330" spans="1:10" ht="15" hidden="1" customHeight="1" x14ac:dyDescent="0.3">
      <c r="A330" s="638">
        <v>84050174</v>
      </c>
      <c r="B330" s="638" t="s">
        <v>659</v>
      </c>
      <c r="C330" s="311"/>
      <c r="D330" s="640">
        <v>6219</v>
      </c>
      <c r="E330" s="305">
        <f>SUMIF(Adjustments!A:A,A330,Adjustments!C:C)</f>
        <v>0</v>
      </c>
      <c r="F330" s="280">
        <f t="shared" si="4"/>
        <v>-6219</v>
      </c>
      <c r="G330" s="263" t="str">
        <f>VLOOKUP('Trial Balance'!$A330,'Code Allocation'!$A:$D,3,0)</f>
        <v>CRA</v>
      </c>
      <c r="H330" s="266" t="str">
        <f>VLOOKUP('Trial Balance'!$A330,'Code Allocation'!$A:$D,4,0)</f>
        <v>Cemeteries</v>
      </c>
      <c r="I330" s="267" t="str">
        <f>VLOOKUP('Trial Balance'!$A330,'Code Allocation'!$A:$E,5,0)</f>
        <v>Customer &amp; Client Receipts</v>
      </c>
      <c r="J330" s="268" t="str">
        <f>VLOOKUP('Trial Balance'!$A330,'Code Allocation'!$A:$F,6,0)</f>
        <v>Burial Fees</v>
      </c>
    </row>
    <row r="331" spans="1:10" ht="15" hidden="1" customHeight="1" x14ac:dyDescent="0.3">
      <c r="A331" s="638">
        <v>84050175</v>
      </c>
      <c r="B331" s="638" t="s">
        <v>660</v>
      </c>
      <c r="C331" s="311"/>
      <c r="D331" s="640">
        <v>5197</v>
      </c>
      <c r="E331" s="305">
        <f>SUMIF(Adjustments!A:A,A331,Adjustments!C:C)</f>
        <v>0</v>
      </c>
      <c r="F331" s="280">
        <f t="shared" si="4"/>
        <v>-5197</v>
      </c>
      <c r="G331" s="263" t="str">
        <f>VLOOKUP('Trial Balance'!$A331,'Code Allocation'!$A:$D,3,0)</f>
        <v>CRA</v>
      </c>
      <c r="H331" s="266" t="str">
        <f>VLOOKUP('Trial Balance'!$A331,'Code Allocation'!$A:$D,4,0)</f>
        <v>Cemeteries</v>
      </c>
      <c r="I331" s="267" t="str">
        <f>VLOOKUP('Trial Balance'!$A331,'Code Allocation'!$A:$E,5,0)</f>
        <v>Customer &amp; Client Receipts</v>
      </c>
      <c r="J331" s="268" t="str">
        <f>VLOOKUP('Trial Balance'!$A331,'Code Allocation'!$A:$F,6,0)</f>
        <v>Burial Fees</v>
      </c>
    </row>
    <row r="332" spans="1:10" ht="15" hidden="1" customHeight="1" x14ac:dyDescent="0.3">
      <c r="A332" s="638">
        <v>84050176</v>
      </c>
      <c r="B332" s="638" t="s">
        <v>661</v>
      </c>
      <c r="C332" s="311"/>
      <c r="D332" s="638">
        <v>691</v>
      </c>
      <c r="E332" s="305">
        <f>SUMIF(Adjustments!A:A,A332,Adjustments!C:C)</f>
        <v>0</v>
      </c>
      <c r="F332" s="280">
        <f t="shared" si="4"/>
        <v>-691</v>
      </c>
      <c r="G332" s="263" t="str">
        <f>VLOOKUP('Trial Balance'!$A332,'Code Allocation'!$A:$D,3,0)</f>
        <v>CRA</v>
      </c>
      <c r="H332" s="266" t="str">
        <f>VLOOKUP('Trial Balance'!$A332,'Code Allocation'!$A:$D,4,0)</f>
        <v>Cemeteries</v>
      </c>
      <c r="I332" s="267" t="str">
        <f>VLOOKUP('Trial Balance'!$A332,'Code Allocation'!$A:$E,5,0)</f>
        <v>Customer &amp; Client Receipts</v>
      </c>
      <c r="J332" s="268" t="str">
        <f>VLOOKUP('Trial Balance'!$A332,'Code Allocation'!$A:$F,6,0)</f>
        <v>Burial Fees</v>
      </c>
    </row>
    <row r="333" spans="1:10" ht="15" hidden="1" customHeight="1" x14ac:dyDescent="0.3">
      <c r="A333" s="638">
        <v>84050275</v>
      </c>
      <c r="B333" s="638" t="s">
        <v>662</v>
      </c>
      <c r="C333" s="311"/>
      <c r="D333" s="638">
        <v>432</v>
      </c>
      <c r="E333" s="305">
        <f>SUMIF(Adjustments!A:A,A333,Adjustments!C:C)</f>
        <v>0</v>
      </c>
      <c r="F333" s="280">
        <f t="shared" si="4"/>
        <v>-432</v>
      </c>
      <c r="G333" s="263" t="str">
        <f>VLOOKUP('Trial Balance'!$A333,'Code Allocation'!$A:$D,3,0)</f>
        <v>CRA</v>
      </c>
      <c r="H333" s="266" t="str">
        <f>VLOOKUP('Trial Balance'!$A333,'Code Allocation'!$A:$D,4,0)</f>
        <v>Cemeteries</v>
      </c>
      <c r="I333" s="267" t="str">
        <f>VLOOKUP('Trial Balance'!$A333,'Code Allocation'!$A:$E,5,0)</f>
        <v>Customer &amp; Client Receipts</v>
      </c>
      <c r="J333" s="268" t="str">
        <f>VLOOKUP('Trial Balance'!$A333,'Code Allocation'!$A:$F,6,0)</f>
        <v>Cemetery Income</v>
      </c>
    </row>
    <row r="334" spans="1:10" ht="15" hidden="1" customHeight="1" x14ac:dyDescent="0.3">
      <c r="A334" s="638">
        <v>84050374</v>
      </c>
      <c r="B334" s="638" t="s">
        <v>663</v>
      </c>
      <c r="C334" s="311"/>
      <c r="D334" s="640">
        <v>1415.5</v>
      </c>
      <c r="E334" s="305">
        <f>SUMIF(Adjustments!A:A,A334,Adjustments!C:C)</f>
        <v>0</v>
      </c>
      <c r="F334" s="280">
        <f t="shared" si="4"/>
        <v>-1415.5</v>
      </c>
      <c r="G334" s="263" t="str">
        <f>VLOOKUP('Trial Balance'!$A334,'Code Allocation'!$A:$D,3,0)</f>
        <v>CRA</v>
      </c>
      <c r="H334" s="266" t="str">
        <f>VLOOKUP('Trial Balance'!$A334,'Code Allocation'!$A:$D,4,0)</f>
        <v>Cemeteries</v>
      </c>
      <c r="I334" s="267" t="str">
        <f>VLOOKUP('Trial Balance'!$A334,'Code Allocation'!$A:$E,5,0)</f>
        <v>Customer &amp; Client Receipts</v>
      </c>
      <c r="J334" s="268" t="str">
        <f>VLOOKUP('Trial Balance'!$A334,'Code Allocation'!$A:$F,6,0)</f>
        <v>Memorials &amp; Inscriptions</v>
      </c>
    </row>
    <row r="335" spans="1:10" ht="15" hidden="1" customHeight="1" x14ac:dyDescent="0.3">
      <c r="A335" s="638">
        <v>84050375</v>
      </c>
      <c r="B335" s="638" t="s">
        <v>664</v>
      </c>
      <c r="C335" s="311"/>
      <c r="D335" s="638">
        <v>723</v>
      </c>
      <c r="E335" s="305">
        <f>SUMIF(Adjustments!A:A,A335,Adjustments!C:C)</f>
        <v>0</v>
      </c>
      <c r="F335" s="280">
        <f t="shared" si="4"/>
        <v>-723</v>
      </c>
      <c r="G335" s="263" t="str">
        <f>VLOOKUP('Trial Balance'!$A335,'Code Allocation'!$A:$D,3,0)</f>
        <v>CRA</v>
      </c>
      <c r="H335" s="266" t="str">
        <f>VLOOKUP('Trial Balance'!$A335,'Code Allocation'!$A:$D,4,0)</f>
        <v>Cemeteries</v>
      </c>
      <c r="I335" s="267" t="str">
        <f>VLOOKUP('Trial Balance'!$A335,'Code Allocation'!$A:$E,5,0)</f>
        <v>Customer &amp; Client Receipts</v>
      </c>
      <c r="J335" s="268" t="str">
        <f>VLOOKUP('Trial Balance'!$A335,'Code Allocation'!$A:$F,6,0)</f>
        <v>Memorials &amp; Inscriptions</v>
      </c>
    </row>
    <row r="336" spans="1:10" ht="15" hidden="1" customHeight="1" x14ac:dyDescent="0.3">
      <c r="A336" s="638">
        <v>84050376</v>
      </c>
      <c r="B336" s="638" t="s">
        <v>665</v>
      </c>
      <c r="C336" s="311"/>
      <c r="D336" s="638">
        <v>113</v>
      </c>
      <c r="E336" s="305">
        <f>SUMIF(Adjustments!A:A,A336,Adjustments!C:C)</f>
        <v>0</v>
      </c>
      <c r="F336" s="280">
        <f t="shared" si="4"/>
        <v>-113</v>
      </c>
      <c r="G336" s="263" t="str">
        <f>VLOOKUP('Trial Balance'!$A336,'Code Allocation'!$A:$D,3,0)</f>
        <v>CRA</v>
      </c>
      <c r="H336" s="266" t="str">
        <f>VLOOKUP('Trial Balance'!$A336,'Code Allocation'!$A:$D,4,0)</f>
        <v>Cemeteries</v>
      </c>
      <c r="I336" s="267" t="str">
        <f>VLOOKUP('Trial Balance'!$A336,'Code Allocation'!$A:$E,5,0)</f>
        <v>Customer &amp; Client Receipts</v>
      </c>
      <c r="J336" s="268" t="str">
        <f>VLOOKUP('Trial Balance'!$A336,'Code Allocation'!$A:$F,6,0)</f>
        <v>Cemetery Income</v>
      </c>
    </row>
    <row r="337" spans="1:10" ht="15" hidden="1" customHeight="1" x14ac:dyDescent="0.3">
      <c r="A337" s="638">
        <v>84050574</v>
      </c>
      <c r="B337" s="638" t="s">
        <v>666</v>
      </c>
      <c r="C337" s="640">
        <v>3370.98</v>
      </c>
      <c r="D337" s="311"/>
      <c r="E337" s="305">
        <f>SUMIF(Adjustments!A:A,A337,Adjustments!C:C)</f>
        <v>0</v>
      </c>
      <c r="F337" s="280">
        <f t="shared" si="4"/>
        <v>3370.98</v>
      </c>
      <c r="G337" s="263" t="str">
        <f>VLOOKUP('Trial Balance'!$A337,'Code Allocation'!$A:$D,3,0)</f>
        <v>CRA</v>
      </c>
      <c r="H337" s="266" t="str">
        <f>VLOOKUP('Trial Balance'!$A337,'Code Allocation'!$A:$D,4,0)</f>
        <v>Cemeteries</v>
      </c>
      <c r="I337" s="267" t="str">
        <f>VLOOKUP('Trial Balance'!$A337,'Code Allocation'!$A:$E,5,0)</f>
        <v>Customer &amp; Client Receipts</v>
      </c>
      <c r="J337" s="268" t="str">
        <f>VLOOKUP('Trial Balance'!$A337,'Code Allocation'!$A:$F,6,0)</f>
        <v>Cemetery Income</v>
      </c>
    </row>
    <row r="338" spans="1:10" ht="15" hidden="1" customHeight="1" x14ac:dyDescent="0.3">
      <c r="A338" s="638">
        <v>84050575</v>
      </c>
      <c r="B338" s="638" t="s">
        <v>667</v>
      </c>
      <c r="C338" s="311"/>
      <c r="D338" s="638">
        <v>97</v>
      </c>
      <c r="E338" s="305">
        <f>SUMIF(Adjustments!A:A,A338,Adjustments!C:C)</f>
        <v>0</v>
      </c>
      <c r="F338" s="280">
        <f t="shared" si="4"/>
        <v>-97</v>
      </c>
      <c r="G338" s="263" t="str">
        <f>VLOOKUP('Trial Balance'!$A338,'Code Allocation'!$A:$D,3,0)</f>
        <v>CRA</v>
      </c>
      <c r="H338" s="266" t="str">
        <f>VLOOKUP('Trial Balance'!$A338,'Code Allocation'!$A:$D,4,0)</f>
        <v>Cemeteries</v>
      </c>
      <c r="I338" s="267" t="str">
        <f>VLOOKUP('Trial Balance'!$A338,'Code Allocation'!$A:$E,5,0)</f>
        <v>Customer &amp; Client Receipts</v>
      </c>
      <c r="J338" s="268" t="str">
        <f>VLOOKUP('Trial Balance'!$A338,'Code Allocation'!$A:$F,6,0)</f>
        <v>Chapel</v>
      </c>
    </row>
    <row r="339" spans="1:10" ht="15" hidden="1" customHeight="1" x14ac:dyDescent="0.3">
      <c r="A339" s="638">
        <v>84980174</v>
      </c>
      <c r="B339" s="638" t="s">
        <v>668</v>
      </c>
      <c r="C339" s="311"/>
      <c r="D339" s="638">
        <v>368</v>
      </c>
      <c r="E339" s="305">
        <f>SUMIF(Adjustments!A:A,A339,Adjustments!C:C)</f>
        <v>0</v>
      </c>
      <c r="F339" s="280">
        <f t="shared" si="4"/>
        <v>-368</v>
      </c>
      <c r="G339" s="263" t="str">
        <f>VLOOKUP('Trial Balance'!$A339,'Code Allocation'!$A:$D,3,0)</f>
        <v>CRA</v>
      </c>
      <c r="H339" s="266" t="str">
        <f>VLOOKUP('Trial Balance'!$A339,'Code Allocation'!$A:$D,4,0)</f>
        <v>Cemeteries</v>
      </c>
      <c r="I339" s="267" t="str">
        <f>VLOOKUP('Trial Balance'!$A339,'Code Allocation'!$A:$E,5,0)</f>
        <v>Reimbursements &amp; Contributions</v>
      </c>
      <c r="J339" s="268" t="str">
        <f>VLOOKUP('Trial Balance'!$A339,'Code Allocation'!$A:$F,6,0)</f>
        <v>Sundry Income</v>
      </c>
    </row>
    <row r="340" spans="1:10" ht="15" hidden="1" customHeight="1" x14ac:dyDescent="0.3">
      <c r="A340" s="638">
        <v>84980175</v>
      </c>
      <c r="B340" s="638" t="s">
        <v>669</v>
      </c>
      <c r="C340" s="311"/>
      <c r="D340" s="640">
        <v>3495</v>
      </c>
      <c r="E340" s="305">
        <f>SUMIF(Adjustments!A:A,A340,Adjustments!C:C)</f>
        <v>0</v>
      </c>
      <c r="F340" s="280">
        <f t="shared" si="4"/>
        <v>-3495</v>
      </c>
      <c r="G340" s="263" t="str">
        <f>VLOOKUP('Trial Balance'!$A340,'Code Allocation'!$A:$D,3,0)</f>
        <v>CRA</v>
      </c>
      <c r="H340" s="266" t="str">
        <f>VLOOKUP('Trial Balance'!$A340,'Code Allocation'!$A:$D,4,0)</f>
        <v>Cemeteries</v>
      </c>
      <c r="I340" s="267" t="str">
        <f>VLOOKUP('Trial Balance'!$A340,'Code Allocation'!$A:$E,5,0)</f>
        <v>Reimbursements &amp; Contributions</v>
      </c>
      <c r="J340" s="268" t="str">
        <f>VLOOKUP('Trial Balance'!$A340,'Code Allocation'!$A:$F,6,0)</f>
        <v>Sundry Income</v>
      </c>
    </row>
    <row r="341" spans="1:10" ht="15" hidden="1" customHeight="1" x14ac:dyDescent="0.3">
      <c r="A341" s="638">
        <v>87000199</v>
      </c>
      <c r="B341" s="638" t="s">
        <v>403</v>
      </c>
      <c r="C341" s="640">
        <v>13183.68</v>
      </c>
      <c r="D341" s="311"/>
      <c r="E341" s="305">
        <f>SUMIF(Adjustments!A:A,A341,Adjustments!C:C)</f>
        <v>0</v>
      </c>
      <c r="F341" s="280">
        <f t="shared" si="4"/>
        <v>13183.68</v>
      </c>
      <c r="G341" s="263" t="str">
        <f>VLOOKUP('Trial Balance'!$A341,'Code Allocation'!$A:$D,3,0)</f>
        <v>CRA</v>
      </c>
      <c r="H341" s="266" t="str">
        <f>VLOOKUP('Trial Balance'!$A341,'Code Allocation'!$A:$D,4,0)</f>
        <v>Cemeteries</v>
      </c>
      <c r="I341" s="267" t="str">
        <f>VLOOKUP('Trial Balance'!$A341,'Code Allocation'!$A:$E,5,0)</f>
        <v>Employees</v>
      </c>
      <c r="J341" s="268" t="str">
        <f>VLOOKUP('Trial Balance'!$A341,'Code Allocation'!$A:$F,6,0)</f>
        <v>Wages</v>
      </c>
    </row>
    <row r="342" spans="1:10" ht="15" hidden="1" customHeight="1" x14ac:dyDescent="0.3">
      <c r="A342" s="638">
        <v>87020199</v>
      </c>
      <c r="B342" s="638" t="s">
        <v>670</v>
      </c>
      <c r="C342" s="638">
        <v>670.54</v>
      </c>
      <c r="D342" s="311"/>
      <c r="E342" s="305">
        <f>SUMIF(Adjustments!A:A,A342,Adjustments!C:C)</f>
        <v>0</v>
      </c>
      <c r="F342" s="642">
        <f t="shared" si="4"/>
        <v>670.54</v>
      </c>
      <c r="G342" s="263" t="str">
        <f>VLOOKUP('Trial Balance'!$A342,'Code Allocation'!$A:$D,3,0)</f>
        <v>CRA</v>
      </c>
      <c r="H342" s="266" t="str">
        <f>VLOOKUP('Trial Balance'!$A342,'Code Allocation'!$A:$D,4,0)</f>
        <v>Cemeteries</v>
      </c>
      <c r="I342" s="267" t="str">
        <f>VLOOKUP('Trial Balance'!$A342,'Code Allocation'!$A:$E,5,0)</f>
        <v>Employees</v>
      </c>
      <c r="J342" s="268" t="str">
        <f>VLOOKUP('Trial Balance'!$A342,'Code Allocation'!$A:$F,6,0)</f>
        <v>Employers National Insurance</v>
      </c>
    </row>
    <row r="343" spans="1:10" ht="15" hidden="1" customHeight="1" x14ac:dyDescent="0.3">
      <c r="A343" s="638">
        <v>87030199</v>
      </c>
      <c r="B343" s="638" t="s">
        <v>671</v>
      </c>
      <c r="C343" s="640">
        <v>2465.8000000000002</v>
      </c>
      <c r="D343" s="311"/>
      <c r="E343" s="305">
        <f>SUMIF(Adjustments!A:A,A343,Adjustments!C:C)</f>
        <v>0</v>
      </c>
      <c r="F343" s="280">
        <f t="shared" si="4"/>
        <v>2465.8000000000002</v>
      </c>
      <c r="G343" s="263" t="str">
        <f>VLOOKUP('Trial Balance'!$A343,'Code Allocation'!$A:$D,3,0)</f>
        <v>CRA</v>
      </c>
      <c r="H343" s="266" t="str">
        <f>VLOOKUP('Trial Balance'!$A343,'Code Allocation'!$A:$D,4,0)</f>
        <v>Cemeteries</v>
      </c>
      <c r="I343" s="267" t="str">
        <f>VLOOKUP('Trial Balance'!$A343,'Code Allocation'!$A:$E,5,0)</f>
        <v>Employees</v>
      </c>
      <c r="J343" s="268" t="str">
        <f>VLOOKUP('Trial Balance'!$A343,'Code Allocation'!$A:$F,6,0)</f>
        <v>Employers Superannuation</v>
      </c>
    </row>
    <row r="344" spans="1:10" ht="15" hidden="1" customHeight="1" x14ac:dyDescent="0.3">
      <c r="A344" s="638">
        <v>87110174</v>
      </c>
      <c r="B344" s="638" t="s">
        <v>672</v>
      </c>
      <c r="C344" s="638">
        <v>353.27</v>
      </c>
      <c r="D344" s="311"/>
      <c r="E344" s="305">
        <f>SUMIF(Adjustments!A:A,A344,Adjustments!C:C)</f>
        <v>0</v>
      </c>
      <c r="F344" s="280">
        <f t="shared" si="4"/>
        <v>353.27</v>
      </c>
      <c r="G344" s="263" t="str">
        <f>VLOOKUP('Trial Balance'!$A344,'Code Allocation'!$A:$D,3,0)</f>
        <v>CRA</v>
      </c>
      <c r="H344" s="266" t="str">
        <f>VLOOKUP('Trial Balance'!$A344,'Code Allocation'!$A:$D,4,0)</f>
        <v>Cemeteries</v>
      </c>
      <c r="I344" s="267" t="str">
        <f>VLOOKUP('Trial Balance'!$A344,'Code Allocation'!$A:$E,5,0)</f>
        <v>Premises Related Expenditure</v>
      </c>
      <c r="J344" s="268" t="str">
        <f>VLOOKUP('Trial Balance'!$A344,'Code Allocation'!$A:$F,6,0)</f>
        <v>Electricity</v>
      </c>
    </row>
    <row r="345" spans="1:10" ht="15" hidden="1" customHeight="1" x14ac:dyDescent="0.3">
      <c r="A345" s="638">
        <v>87110175</v>
      </c>
      <c r="B345" s="638" t="s">
        <v>673</v>
      </c>
      <c r="C345" s="638">
        <v>81.11</v>
      </c>
      <c r="D345" s="311"/>
      <c r="E345" s="305">
        <f>SUMIF(Adjustments!A:A,A345,Adjustments!C:C)</f>
        <v>0</v>
      </c>
      <c r="F345" s="642">
        <f t="shared" si="4"/>
        <v>81.11</v>
      </c>
      <c r="G345" s="263" t="str">
        <f>VLOOKUP('Trial Balance'!$A345,'Code Allocation'!$A:$D,3,0)</f>
        <v>CRA</v>
      </c>
      <c r="H345" s="266" t="str">
        <f>VLOOKUP('Trial Balance'!$A345,'Code Allocation'!$A:$D,4,0)</f>
        <v>Cemeteries</v>
      </c>
      <c r="I345" s="267" t="str">
        <f>VLOOKUP('Trial Balance'!$A345,'Code Allocation'!$A:$E,5,0)</f>
        <v>Premises Related Expenditure</v>
      </c>
      <c r="J345" s="268" t="str">
        <f>VLOOKUP('Trial Balance'!$A345,'Code Allocation'!$A:$F,6,0)</f>
        <v>Electricity</v>
      </c>
    </row>
    <row r="346" spans="1:10" ht="15" hidden="1" customHeight="1" x14ac:dyDescent="0.3">
      <c r="A346" s="638">
        <v>87120174</v>
      </c>
      <c r="B346" s="638" t="s">
        <v>674</v>
      </c>
      <c r="C346" s="638">
        <v>50.32</v>
      </c>
      <c r="D346" s="311"/>
      <c r="E346" s="305">
        <f>SUMIF(Adjustments!A:A,A346,Adjustments!C:C)</f>
        <v>0</v>
      </c>
      <c r="F346" s="280">
        <f t="shared" si="4"/>
        <v>50.32</v>
      </c>
      <c r="G346" s="263" t="str">
        <f>VLOOKUP('Trial Balance'!$A346,'Code Allocation'!$A:$D,3,0)</f>
        <v>CRA</v>
      </c>
      <c r="H346" s="266" t="str">
        <f>VLOOKUP('Trial Balance'!$A346,'Code Allocation'!$A:$D,4,0)</f>
        <v>Cemeteries</v>
      </c>
      <c r="I346" s="267" t="str">
        <f>VLOOKUP('Trial Balance'!$A346,'Code Allocation'!$A:$E,5,0)</f>
        <v>Premises Related Expenditure</v>
      </c>
      <c r="J346" s="268" t="str">
        <f>VLOOKUP('Trial Balance'!$A346,'Code Allocation'!$A:$F,6,0)</f>
        <v>Water</v>
      </c>
    </row>
    <row r="347" spans="1:10" ht="15" hidden="1" customHeight="1" x14ac:dyDescent="0.3">
      <c r="A347" s="638">
        <v>87120175</v>
      </c>
      <c r="B347" s="638" t="s">
        <v>675</v>
      </c>
      <c r="C347" s="638">
        <v>43.97</v>
      </c>
      <c r="D347" s="311"/>
      <c r="E347" s="305">
        <f>SUMIF(Adjustments!A:A,A347,Adjustments!C:C)</f>
        <v>0</v>
      </c>
      <c r="F347" s="280">
        <f t="shared" si="4"/>
        <v>43.97</v>
      </c>
      <c r="G347" s="263" t="str">
        <f>VLOOKUP('Trial Balance'!$A347,'Code Allocation'!$A:$D,3,0)</f>
        <v>CRA</v>
      </c>
      <c r="H347" s="266" t="str">
        <f>VLOOKUP('Trial Balance'!$A347,'Code Allocation'!$A:$D,4,0)</f>
        <v>Cemeteries</v>
      </c>
      <c r="I347" s="267" t="str">
        <f>VLOOKUP('Trial Balance'!$A347,'Code Allocation'!$A:$E,5,0)</f>
        <v>Premises Related Expenditure</v>
      </c>
      <c r="J347" s="268" t="str">
        <f>VLOOKUP('Trial Balance'!$A347,'Code Allocation'!$A:$F,6,0)</f>
        <v>Water</v>
      </c>
    </row>
    <row r="348" spans="1:10" ht="15" hidden="1" customHeight="1" x14ac:dyDescent="0.3">
      <c r="A348" s="638">
        <v>87140174</v>
      </c>
      <c r="B348" s="638" t="s">
        <v>676</v>
      </c>
      <c r="C348" s="638">
        <v>946.44</v>
      </c>
      <c r="D348" s="311"/>
      <c r="E348" s="305">
        <f>SUMIF(Adjustments!A:A,A348,Adjustments!C:C)</f>
        <v>0</v>
      </c>
      <c r="F348" s="280">
        <f t="shared" si="4"/>
        <v>946.44</v>
      </c>
      <c r="G348" s="263" t="str">
        <f>VLOOKUP('Trial Balance'!$A348,'Code Allocation'!$A:$D,3,0)</f>
        <v>CRA</v>
      </c>
      <c r="H348" s="266" t="str">
        <f>VLOOKUP('Trial Balance'!$A348,'Code Allocation'!$A:$D,4,0)</f>
        <v>Cemeteries</v>
      </c>
      <c r="I348" s="267" t="str">
        <f>VLOOKUP('Trial Balance'!$A348,'Code Allocation'!$A:$E,5,0)</f>
        <v>Premises Related Expenditure</v>
      </c>
      <c r="J348" s="268" t="str">
        <f>VLOOKUP('Trial Balance'!$A348,'Code Allocation'!$A:$F,6,0)</f>
        <v>Rates</v>
      </c>
    </row>
    <row r="349" spans="1:10" ht="15" hidden="1" customHeight="1" x14ac:dyDescent="0.3">
      <c r="A349" s="638">
        <v>87140175</v>
      </c>
      <c r="B349" s="638" t="s">
        <v>677</v>
      </c>
      <c r="C349" s="638">
        <v>142.16999999999999</v>
      </c>
      <c r="D349" s="311"/>
      <c r="E349" s="305">
        <f>SUMIF(Adjustments!A:A,A349,Adjustments!C:C)</f>
        <v>0</v>
      </c>
      <c r="F349" s="642">
        <f t="shared" si="4"/>
        <v>142.16999999999999</v>
      </c>
      <c r="G349" s="263" t="str">
        <f>VLOOKUP('Trial Balance'!$A349,'Code Allocation'!$A:$D,3,0)</f>
        <v>CRA</v>
      </c>
      <c r="H349" s="266" t="str">
        <f>VLOOKUP('Trial Balance'!$A349,'Code Allocation'!$A:$D,4,0)</f>
        <v>Cemeteries</v>
      </c>
      <c r="I349" s="267" t="str">
        <f>VLOOKUP('Trial Balance'!$A349,'Code Allocation'!$A:$E,5,0)</f>
        <v>Premises Related Expenditure</v>
      </c>
      <c r="J349" s="268" t="str">
        <f>VLOOKUP('Trial Balance'!$A349,'Code Allocation'!$A:$F,6,0)</f>
        <v>Rates</v>
      </c>
    </row>
    <row r="350" spans="1:10" ht="15" hidden="1" customHeight="1" x14ac:dyDescent="0.3">
      <c r="A350" s="638">
        <v>87160174</v>
      </c>
      <c r="B350" s="638" t="s">
        <v>678</v>
      </c>
      <c r="C350" s="638">
        <v>231.94</v>
      </c>
      <c r="D350" s="311"/>
      <c r="E350" s="305">
        <f>SUMIF(Adjustments!A:A,A350,Adjustments!C:C)</f>
        <v>0</v>
      </c>
      <c r="F350" s="639">
        <f t="shared" si="4"/>
        <v>231.94</v>
      </c>
      <c r="G350" s="263" t="str">
        <f>VLOOKUP('Trial Balance'!$A350,'Code Allocation'!$A:$D,3,0)</f>
        <v>CRA</v>
      </c>
      <c r="H350" s="266" t="str">
        <f>VLOOKUP('Trial Balance'!$A350,'Code Allocation'!$A:$D,4,0)</f>
        <v>Cemeteries</v>
      </c>
      <c r="I350" s="267" t="str">
        <f>VLOOKUP('Trial Balance'!$A350,'Code Allocation'!$A:$E,5,0)</f>
        <v>Supplies and Services</v>
      </c>
      <c r="J350" s="268" t="str">
        <f>VLOOKUP('Trial Balance'!$A350,'Code Allocation'!$A:$F,6,0)</f>
        <v>Telephone</v>
      </c>
    </row>
    <row r="351" spans="1:10" ht="15" hidden="1" customHeight="1" x14ac:dyDescent="0.3">
      <c r="A351" s="638">
        <v>87160175</v>
      </c>
      <c r="B351" s="638" t="s">
        <v>679</v>
      </c>
      <c r="C351" s="638">
        <v>30.97</v>
      </c>
      <c r="D351" s="311"/>
      <c r="E351" s="305">
        <f>SUMIF(Adjustments!A:A,A351,Adjustments!C:C)</f>
        <v>0</v>
      </c>
      <c r="F351" s="280">
        <f t="shared" si="4"/>
        <v>30.97</v>
      </c>
      <c r="G351" s="263" t="str">
        <f>VLOOKUP('Trial Balance'!$A351,'Code Allocation'!$A:$D,3,0)</f>
        <v>CRA</v>
      </c>
      <c r="H351" s="266" t="str">
        <f>VLOOKUP('Trial Balance'!$A351,'Code Allocation'!$A:$D,4,0)</f>
        <v>Cemeteries</v>
      </c>
      <c r="I351" s="267" t="str">
        <f>VLOOKUP('Trial Balance'!$A351,'Code Allocation'!$A:$E,5,0)</f>
        <v>Supplies and Services</v>
      </c>
      <c r="J351" s="268" t="str">
        <f>VLOOKUP('Trial Balance'!$A351,'Code Allocation'!$A:$F,6,0)</f>
        <v>Telephone</v>
      </c>
    </row>
    <row r="352" spans="1:10" ht="15" hidden="1" customHeight="1" x14ac:dyDescent="0.3">
      <c r="A352" s="638">
        <v>87330399</v>
      </c>
      <c r="B352" s="638" t="s">
        <v>680</v>
      </c>
      <c r="C352" s="638">
        <v>40</v>
      </c>
      <c r="D352" s="311"/>
      <c r="E352" s="305">
        <f>SUMIF(Adjustments!A:A,A352,Adjustments!C:C)</f>
        <v>0</v>
      </c>
      <c r="F352" s="280">
        <f t="shared" si="4"/>
        <v>40</v>
      </c>
      <c r="G352" s="263" t="str">
        <f>VLOOKUP('Trial Balance'!$A352,'Code Allocation'!$A:$D,3,0)</f>
        <v>CRA</v>
      </c>
      <c r="H352" s="266" t="str">
        <f>VLOOKUP('Trial Balance'!$A352,'Code Allocation'!$A:$D,4,0)</f>
        <v>Cemeteries</v>
      </c>
      <c r="I352" s="267" t="str">
        <f>VLOOKUP('Trial Balance'!$A352,'Code Allocation'!$A:$E,5,0)</f>
        <v>Transport Related Expenses</v>
      </c>
      <c r="J352" s="268" t="str">
        <f>VLOOKUP('Trial Balance'!$A352,'Code Allocation'!$A:$F,6,0)</f>
        <v>Transport - Pick-up</v>
      </c>
    </row>
    <row r="353" spans="1:10" ht="15" hidden="1" customHeight="1" x14ac:dyDescent="0.3">
      <c r="A353" s="638">
        <v>87350299</v>
      </c>
      <c r="B353" s="638" t="s">
        <v>681</v>
      </c>
      <c r="C353" s="638">
        <v>656.25</v>
      </c>
      <c r="D353" s="311"/>
      <c r="E353" s="305">
        <f>SUMIF(Adjustments!A:A,A353,Adjustments!C:C)</f>
        <v>0</v>
      </c>
      <c r="F353" s="280">
        <f t="shared" si="4"/>
        <v>656.25</v>
      </c>
      <c r="G353" s="263" t="str">
        <f>VLOOKUP('Trial Balance'!$A353,'Code Allocation'!$A:$D,3,0)</f>
        <v>CRA</v>
      </c>
      <c r="H353" s="266" t="str">
        <f>VLOOKUP('Trial Balance'!$A353,'Code Allocation'!$A:$D,4,0)</f>
        <v>Cemeteries</v>
      </c>
      <c r="I353" s="267" t="str">
        <f>VLOOKUP('Trial Balance'!$A353,'Code Allocation'!$A:$E,5,0)</f>
        <v>Supplies and Services</v>
      </c>
      <c r="J353" s="268" t="str">
        <f>VLOOKUP('Trial Balance'!$A353,'Code Allocation'!$A:$F,6,0)</f>
        <v>Machinery Servicing</v>
      </c>
    </row>
    <row r="354" spans="1:10" ht="15" hidden="1" customHeight="1" x14ac:dyDescent="0.3">
      <c r="A354" s="638">
        <v>87380199</v>
      </c>
      <c r="B354" s="638" t="s">
        <v>682</v>
      </c>
      <c r="C354" s="638">
        <v>229.96</v>
      </c>
      <c r="D354" s="311"/>
      <c r="E354" s="305">
        <f>SUMIF(Adjustments!A:A,A354,Adjustments!C:C)</f>
        <v>0</v>
      </c>
      <c r="F354" s="642">
        <f t="shared" si="4"/>
        <v>229.96</v>
      </c>
      <c r="G354" s="263" t="str">
        <f>VLOOKUP('Trial Balance'!$A354,'Code Allocation'!$A:$D,3,0)</f>
        <v>CRA</v>
      </c>
      <c r="H354" s="266" t="str">
        <f>VLOOKUP('Trial Balance'!$A354,'Code Allocation'!$A:$D,4,0)</f>
        <v>Cemeteries</v>
      </c>
      <c r="I354" s="267" t="str">
        <f>VLOOKUP('Trial Balance'!$A354,'Code Allocation'!$A:$E,5,0)</f>
        <v>Transport Related Expenses</v>
      </c>
      <c r="J354" s="268" t="str">
        <f>VLOOKUP('Trial Balance'!$A354,'Code Allocation'!$A:$F,6,0)</f>
        <v>Transport - Pick-up</v>
      </c>
    </row>
    <row r="355" spans="1:10" ht="15" hidden="1" customHeight="1" x14ac:dyDescent="0.3">
      <c r="A355" s="638">
        <v>87380299</v>
      </c>
      <c r="B355" s="638" t="s">
        <v>683</v>
      </c>
      <c r="C355" s="638">
        <v>89.79</v>
      </c>
      <c r="D355" s="311"/>
      <c r="E355" s="305">
        <f>SUMIF(Adjustments!A:A,A355,Adjustments!C:C)</f>
        <v>0</v>
      </c>
      <c r="F355" s="642">
        <f t="shared" si="4"/>
        <v>89.79</v>
      </c>
      <c r="G355" s="263" t="str">
        <f>VLOOKUP('Trial Balance'!$A355,'Code Allocation'!$A:$D,3,0)</f>
        <v>CRA</v>
      </c>
      <c r="H355" s="266" t="str">
        <f>VLOOKUP('Trial Balance'!$A355,'Code Allocation'!$A:$D,4,0)</f>
        <v>Cemeteries</v>
      </c>
      <c r="I355" s="267" t="str">
        <f>VLOOKUP('Trial Balance'!$A355,'Code Allocation'!$A:$E,5,0)</f>
        <v>Transport Related Expenses</v>
      </c>
      <c r="J355" s="268" t="str">
        <f>VLOOKUP('Trial Balance'!$A355,'Code Allocation'!$A:$F,6,0)</f>
        <v>Transport - Pick-up</v>
      </c>
    </row>
    <row r="356" spans="1:10" ht="15" hidden="1" customHeight="1" x14ac:dyDescent="0.3">
      <c r="A356" s="638">
        <v>87420475</v>
      </c>
      <c r="B356" s="638" t="s">
        <v>684</v>
      </c>
      <c r="C356" s="640">
        <v>1432.5</v>
      </c>
      <c r="D356" s="311"/>
      <c r="E356" s="305">
        <f>SUMIF(Adjustments!A:A,A356,Adjustments!C:C)</f>
        <v>0</v>
      </c>
      <c r="F356" s="280">
        <f t="shared" si="4"/>
        <v>1432.5</v>
      </c>
      <c r="G356" s="263" t="str">
        <f>VLOOKUP('Trial Balance'!$A356,'Code Allocation'!$A:$D,3,0)</f>
        <v>CRA</v>
      </c>
      <c r="H356" s="266" t="str">
        <f>VLOOKUP('Trial Balance'!$A356,'Code Allocation'!$A:$D,4,0)</f>
        <v>Cemeteries</v>
      </c>
      <c r="I356" s="267" t="str">
        <f>VLOOKUP('Trial Balance'!$A356,'Code Allocation'!$A:$E,5,0)</f>
        <v>Supplies and Services</v>
      </c>
      <c r="J356" s="268" t="str">
        <f>VLOOKUP('Trial Balance'!$A356,'Code Allocation'!$A:$F,6,0)</f>
        <v>General Maintenance</v>
      </c>
    </row>
    <row r="357" spans="1:10" ht="15" hidden="1" customHeight="1" x14ac:dyDescent="0.3">
      <c r="A357" s="638">
        <v>87420476</v>
      </c>
      <c r="B357" s="638" t="s">
        <v>685</v>
      </c>
      <c r="C357" s="640">
        <v>8957.3700000000008</v>
      </c>
      <c r="D357" s="311"/>
      <c r="E357" s="305">
        <f>SUMIF(Adjustments!A:A,A357,Adjustments!C:C)</f>
        <v>0</v>
      </c>
      <c r="F357" s="280">
        <f t="shared" si="4"/>
        <v>8957.3700000000008</v>
      </c>
      <c r="G357" s="263" t="str">
        <f>VLOOKUP('Trial Balance'!$A357,'Code Allocation'!$A:$D,3,0)</f>
        <v>CRA</v>
      </c>
      <c r="H357" s="266" t="str">
        <f>VLOOKUP('Trial Balance'!$A357,'Code Allocation'!$A:$D,4,0)</f>
        <v>Cemeteries</v>
      </c>
      <c r="I357" s="267" t="str">
        <f>VLOOKUP('Trial Balance'!$A357,'Code Allocation'!$A:$E,5,0)</f>
        <v>Supplies and Services</v>
      </c>
      <c r="J357" s="268" t="str">
        <f>VLOOKUP('Trial Balance'!$A357,'Code Allocation'!$A:$F,6,0)</f>
        <v>Fordington Grass Cutting</v>
      </c>
    </row>
    <row r="358" spans="1:10" ht="15" hidden="1" customHeight="1" x14ac:dyDescent="0.3">
      <c r="A358" s="638">
        <v>87421499</v>
      </c>
      <c r="B358" s="638" t="s">
        <v>686</v>
      </c>
      <c r="C358" s="638">
        <v>46.88</v>
      </c>
      <c r="D358" s="311"/>
      <c r="E358" s="305">
        <f>SUMIF(Adjustments!A:A,A358,Adjustments!C:C)</f>
        <v>0</v>
      </c>
      <c r="F358" s="280">
        <f t="shared" si="4"/>
        <v>46.88</v>
      </c>
      <c r="G358" s="263" t="str">
        <f>VLOOKUP('Trial Balance'!$A358,'Code Allocation'!$A:$D,3,0)</f>
        <v>CRA</v>
      </c>
      <c r="H358" s="266" t="str">
        <f>VLOOKUP('Trial Balance'!$A358,'Code Allocation'!$A:$D,4,0)</f>
        <v>Cemeteries</v>
      </c>
      <c r="I358" s="267" t="str">
        <f>VLOOKUP('Trial Balance'!$A358,'Code Allocation'!$A:$E,5,0)</f>
        <v>Supplies and Services</v>
      </c>
      <c r="J358" s="268" t="str">
        <f>VLOOKUP('Trial Balance'!$A358,'Code Allocation'!$A:$F,6,0)</f>
        <v>General Maintenance</v>
      </c>
    </row>
    <row r="359" spans="1:10" ht="15" hidden="1" customHeight="1" x14ac:dyDescent="0.3">
      <c r="A359" s="638">
        <v>87421774</v>
      </c>
      <c r="B359" s="638" t="s">
        <v>687</v>
      </c>
      <c r="C359" s="640">
        <v>1830.27</v>
      </c>
      <c r="D359" s="311"/>
      <c r="E359" s="305">
        <f>SUMIF(Adjustments!A:A,A359,Adjustments!C:C)</f>
        <v>0</v>
      </c>
      <c r="F359" s="280">
        <f t="shared" si="4"/>
        <v>1830.27</v>
      </c>
      <c r="G359" s="263" t="str">
        <f>VLOOKUP('Trial Balance'!$A359,'Code Allocation'!$A:$D,3,0)</f>
        <v>CRA</v>
      </c>
      <c r="H359" s="266" t="str">
        <f>VLOOKUP('Trial Balance'!$A359,'Code Allocation'!$A:$D,4,0)</f>
        <v>Cemeteries</v>
      </c>
      <c r="I359" s="267" t="str">
        <f>VLOOKUP('Trial Balance'!$A359,'Code Allocation'!$A:$E,5,0)</f>
        <v>Supplies and Services</v>
      </c>
      <c r="J359" s="268" t="str">
        <f>VLOOKUP('Trial Balance'!$A359,'Code Allocation'!$A:$F,6,0)</f>
        <v>General Maintenance</v>
      </c>
    </row>
    <row r="360" spans="1:10" ht="15" hidden="1" customHeight="1" x14ac:dyDescent="0.3">
      <c r="A360" s="638">
        <v>87421775</v>
      </c>
      <c r="B360" s="638" t="s">
        <v>688</v>
      </c>
      <c r="C360" s="638">
        <v>948.03</v>
      </c>
      <c r="D360" s="311"/>
      <c r="E360" s="305">
        <f>SUMIF(Adjustments!A:A,A360,Adjustments!C:C)</f>
        <v>0</v>
      </c>
      <c r="F360" s="280">
        <f t="shared" si="4"/>
        <v>948.03</v>
      </c>
      <c r="G360" s="263" t="str">
        <f>VLOOKUP('Trial Balance'!$A360,'Code Allocation'!$A:$D,3,0)</f>
        <v>CRA</v>
      </c>
      <c r="H360" s="266" t="str">
        <f>VLOOKUP('Trial Balance'!$A360,'Code Allocation'!$A:$D,4,0)</f>
        <v>Cemeteries</v>
      </c>
      <c r="I360" s="267" t="str">
        <f>VLOOKUP('Trial Balance'!$A360,'Code Allocation'!$A:$E,5,0)</f>
        <v>Supplies and Services</v>
      </c>
      <c r="J360" s="268" t="str">
        <f>VLOOKUP('Trial Balance'!$A360,'Code Allocation'!$A:$F,6,0)</f>
        <v>General Maintenance</v>
      </c>
    </row>
    <row r="361" spans="1:10" ht="15" hidden="1" customHeight="1" x14ac:dyDescent="0.3">
      <c r="A361" s="638">
        <v>87450199</v>
      </c>
      <c r="B361" s="638" t="s">
        <v>590</v>
      </c>
      <c r="C361" s="640">
        <v>1170</v>
      </c>
      <c r="D361" s="311"/>
      <c r="E361" s="305">
        <f>SUMIF(Adjustments!A:A,A361,Adjustments!C:C)</f>
        <v>0</v>
      </c>
      <c r="F361" s="280">
        <f t="shared" si="4"/>
        <v>1170</v>
      </c>
      <c r="G361" s="263" t="str">
        <f>VLOOKUP('Trial Balance'!$A361,'Code Allocation'!$A:$D,3,0)</f>
        <v>CRA</v>
      </c>
      <c r="H361" s="266" t="str">
        <f>VLOOKUP('Trial Balance'!$A361,'Code Allocation'!$A:$D,4,0)</f>
        <v>Cemeteries</v>
      </c>
      <c r="I361" s="267" t="str">
        <f>VLOOKUP('Trial Balance'!$A361,'Code Allocation'!$A:$E,5,0)</f>
        <v>Supplies and Services</v>
      </c>
      <c r="J361" s="268" t="str">
        <f>VLOOKUP('Trial Balance'!$A361,'Code Allocation'!$A:$F,6,0)</f>
        <v>Refuse Tipping</v>
      </c>
    </row>
    <row r="362" spans="1:10" ht="15" hidden="1" customHeight="1" x14ac:dyDescent="0.3">
      <c r="A362" s="638">
        <v>88140199</v>
      </c>
      <c r="B362" s="638" t="s">
        <v>638</v>
      </c>
      <c r="C362" s="638">
        <v>37.49</v>
      </c>
      <c r="D362" s="311"/>
      <c r="E362" s="305">
        <f>SUMIF(Adjustments!A:A,A362,Adjustments!C:C)</f>
        <v>0</v>
      </c>
      <c r="F362" s="280">
        <f t="shared" si="4"/>
        <v>37.49</v>
      </c>
      <c r="G362" s="263" t="str">
        <f>VLOOKUP('Trial Balance'!$A362,'Code Allocation'!$A:$D,3,0)</f>
        <v>CRA</v>
      </c>
      <c r="H362" s="266" t="str">
        <f>VLOOKUP('Trial Balance'!$A362,'Code Allocation'!$A:$D,4,0)</f>
        <v>Cemeteries</v>
      </c>
      <c r="I362" s="267" t="str">
        <f>VLOOKUP('Trial Balance'!$A362,'Code Allocation'!$A:$E,5,0)</f>
        <v>Supplies and Services</v>
      </c>
      <c r="J362" s="268" t="str">
        <f>VLOOKUP('Trial Balance'!$A362,'Code Allocation'!$A:$F,6,0)</f>
        <v>General Maintenance</v>
      </c>
    </row>
    <row r="363" spans="1:10" ht="15" hidden="1" customHeight="1" x14ac:dyDescent="0.3">
      <c r="A363" s="638">
        <v>90270199</v>
      </c>
      <c r="B363" s="638" t="s">
        <v>689</v>
      </c>
      <c r="C363" s="640">
        <v>14349.04</v>
      </c>
      <c r="D363" s="311"/>
      <c r="E363" s="305">
        <f>SUMIF(Adjustments!A:A,A363,Adjustments!C:C)</f>
        <v>0</v>
      </c>
      <c r="F363" s="280">
        <f t="shared" si="4"/>
        <v>14349.04</v>
      </c>
      <c r="G363" s="263" t="str">
        <f>VLOOKUP('Trial Balance'!$A363,'Code Allocation'!$A:$D,3,0)</f>
        <v>Balance Sheet</v>
      </c>
      <c r="H363" s="266" t="str">
        <f>VLOOKUP('Trial Balance'!$A363,'Code Allocation'!$A:$D,4,0)</f>
        <v xml:space="preserve">  Vehicles, Plant &amp; equipment</v>
      </c>
      <c r="I363" s="267">
        <f>VLOOKUP('Trial Balance'!$A363,'Code Allocation'!$A:$E,5,0)</f>
        <v>0</v>
      </c>
      <c r="J363" s="268">
        <f>VLOOKUP('Trial Balance'!$A363,'Code Allocation'!$A:$F,6,0)</f>
        <v>0</v>
      </c>
    </row>
    <row r="364" spans="1:10" ht="15" hidden="1" customHeight="1" x14ac:dyDescent="0.3">
      <c r="A364" s="638">
        <v>90290199</v>
      </c>
      <c r="B364" s="638" t="s">
        <v>690</v>
      </c>
      <c r="C364" s="640">
        <v>17339.830000000002</v>
      </c>
      <c r="D364" s="311"/>
      <c r="E364" s="305">
        <f>SUMIF(Adjustments!A:A,A364,Adjustments!C:C)</f>
        <v>0</v>
      </c>
      <c r="F364" s="278">
        <f t="shared" ref="F364:F427" si="5">C364-D364+E364</f>
        <v>17339.830000000002</v>
      </c>
      <c r="G364" s="263" t="str">
        <f>VLOOKUP('Trial Balance'!$A364,'Code Allocation'!$A:$D,3,0)</f>
        <v>Balance Sheet</v>
      </c>
      <c r="H364" s="266" t="str">
        <f>VLOOKUP('Trial Balance'!$A364,'Code Allocation'!$A:$D,4,0)</f>
        <v xml:space="preserve">  Assets under construction</v>
      </c>
      <c r="I364" s="267">
        <f>VLOOKUP('Trial Balance'!$A364,'Code Allocation'!$A:$E,5,0)</f>
        <v>0</v>
      </c>
      <c r="J364" s="268">
        <f>VLOOKUP('Trial Balance'!$A364,'Code Allocation'!$A:$F,6,0)</f>
        <v>0</v>
      </c>
    </row>
    <row r="365" spans="1:10" ht="15" hidden="1" customHeight="1" x14ac:dyDescent="0.3">
      <c r="A365" s="638">
        <v>91050199</v>
      </c>
      <c r="B365" s="638" t="s">
        <v>691</v>
      </c>
      <c r="C365" s="311"/>
      <c r="D365" s="640">
        <v>784140.71</v>
      </c>
      <c r="E365" s="305">
        <f>SUMIF(Adjustments!A:A,A365,Adjustments!C:C)</f>
        <v>0</v>
      </c>
      <c r="F365" s="280">
        <f t="shared" si="5"/>
        <v>-784140.71</v>
      </c>
      <c r="G365" s="263" t="str">
        <f>VLOOKUP('Trial Balance'!$A365,'Code Allocation'!$A:$D,3,0)</f>
        <v>Balance Sheet</v>
      </c>
      <c r="H365" s="266" t="str">
        <f>VLOOKUP('Trial Balance'!$A365,'Code Allocation'!$A:$D,4,0)</f>
        <v>Cash in Hand</v>
      </c>
      <c r="I365" s="267">
        <f>VLOOKUP('Trial Balance'!$A365,'Code Allocation'!$A:$E,5,0)</f>
        <v>0</v>
      </c>
      <c r="J365" s="268">
        <f>VLOOKUP('Trial Balance'!$A365,'Code Allocation'!$A:$F,6,0)</f>
        <v>0</v>
      </c>
    </row>
    <row r="366" spans="1:10" ht="15" hidden="1" customHeight="1" x14ac:dyDescent="0.3">
      <c r="A366" s="638">
        <v>91050299</v>
      </c>
      <c r="B366" s="638" t="s">
        <v>692</v>
      </c>
      <c r="C366" s="640">
        <v>1339162.9099999999</v>
      </c>
      <c r="D366" s="311"/>
      <c r="E366" s="305">
        <f>SUMIF(Adjustments!A:A,A366,Adjustments!C:C)</f>
        <v>0</v>
      </c>
      <c r="F366" s="642">
        <f t="shared" si="5"/>
        <v>1339162.9099999999</v>
      </c>
      <c r="G366" s="263" t="str">
        <f>VLOOKUP('Trial Balance'!$A366,'Code Allocation'!$A:$D,3,0)</f>
        <v>Balance Sheet</v>
      </c>
      <c r="H366" s="266" t="str">
        <f>VLOOKUP('Trial Balance'!$A366,'Code Allocation'!$A:$D,4,0)</f>
        <v>Cash in Hand</v>
      </c>
      <c r="I366" s="267">
        <f>VLOOKUP('Trial Balance'!$A366,'Code Allocation'!$A:$E,5,0)</f>
        <v>0</v>
      </c>
      <c r="J366" s="268">
        <f>VLOOKUP('Trial Balance'!$A366,'Code Allocation'!$A:$F,6,0)</f>
        <v>0</v>
      </c>
    </row>
    <row r="367" spans="1:10" ht="15" hidden="1" customHeight="1" x14ac:dyDescent="0.3">
      <c r="A367" s="638">
        <v>91051099</v>
      </c>
      <c r="B367" s="638" t="s">
        <v>693</v>
      </c>
      <c r="C367" s="638">
        <v>387.48</v>
      </c>
      <c r="D367" s="311"/>
      <c r="E367" s="305">
        <f>SUMIF(Adjustments!A:A,A367,Adjustments!C:C)</f>
        <v>0</v>
      </c>
      <c r="F367" s="280">
        <f t="shared" si="5"/>
        <v>387.48</v>
      </c>
      <c r="G367" s="263" t="str">
        <f>VLOOKUP('Trial Balance'!$A367,'Code Allocation'!$A:$D,3,0)</f>
        <v>Balance Sheet</v>
      </c>
      <c r="H367" s="266" t="str">
        <f>VLOOKUP('Trial Balance'!$A367,'Code Allocation'!$A:$D,4,0)</f>
        <v>Cash in Hand</v>
      </c>
      <c r="I367" s="267">
        <f>VLOOKUP('Trial Balance'!$A367,'Code Allocation'!$A:$E,5,0)</f>
        <v>0</v>
      </c>
      <c r="J367" s="268">
        <f>VLOOKUP('Trial Balance'!$A367,'Code Allocation'!$A:$F,6,0)</f>
        <v>0</v>
      </c>
    </row>
    <row r="368" spans="1:10" ht="15" hidden="1" customHeight="1" x14ac:dyDescent="0.3">
      <c r="A368" s="638">
        <v>91100299</v>
      </c>
      <c r="B368" s="638" t="s">
        <v>694</v>
      </c>
      <c r="C368" s="311"/>
      <c r="D368" s="640">
        <v>102825.58</v>
      </c>
      <c r="E368" s="305">
        <f>SUMIF(Adjustments!A:A,A368,Adjustments!C:C)</f>
        <v>0</v>
      </c>
      <c r="F368" s="280">
        <f t="shared" si="5"/>
        <v>-102825.58</v>
      </c>
      <c r="G368" s="263" t="str">
        <f>VLOOKUP('Trial Balance'!$A368,'Code Allocation'!$A:$D,3,0)</f>
        <v>Balance Sheet</v>
      </c>
      <c r="H368" s="266" t="str">
        <f>VLOOKUP('Trial Balance'!$A368,'Code Allocation'!$A:$D,4,0)</f>
        <v>Debtors</v>
      </c>
      <c r="I368" s="267">
        <f>VLOOKUP('Trial Balance'!$A368,'Code Allocation'!$A:$E,5,0)</f>
        <v>0</v>
      </c>
      <c r="J368" s="268">
        <f>VLOOKUP('Trial Balance'!$A368,'Code Allocation'!$A:$F,6,0)</f>
        <v>0</v>
      </c>
    </row>
    <row r="369" spans="1:10" ht="15" hidden="1" customHeight="1" x14ac:dyDescent="0.3">
      <c r="A369" s="638">
        <v>91100399</v>
      </c>
      <c r="B369" s="638" t="s">
        <v>695</v>
      </c>
      <c r="C369" s="640">
        <v>24741.11</v>
      </c>
      <c r="D369" s="311"/>
      <c r="E369" s="305">
        <f>SUMIF(Adjustments!A:A,A369,Adjustments!C:C)</f>
        <v>0</v>
      </c>
      <c r="F369" s="280">
        <f t="shared" si="5"/>
        <v>24741.11</v>
      </c>
      <c r="G369" s="263" t="str">
        <f>VLOOKUP('Trial Balance'!$A369,'Code Allocation'!$A:$D,3,0)</f>
        <v>Balance Sheet</v>
      </c>
      <c r="H369" s="266" t="str">
        <f>VLOOKUP('Trial Balance'!$A369,'Code Allocation'!$A:$D,4,0)</f>
        <v>Debtors</v>
      </c>
      <c r="I369" s="267">
        <f>VLOOKUP('Trial Balance'!$A369,'Code Allocation'!$A:$E,5,0)</f>
        <v>0</v>
      </c>
      <c r="J369" s="268">
        <f>VLOOKUP('Trial Balance'!$A369,'Code Allocation'!$A:$F,6,0)</f>
        <v>0</v>
      </c>
    </row>
    <row r="370" spans="1:10" ht="15" hidden="1" customHeight="1" x14ac:dyDescent="0.3">
      <c r="A370" s="638">
        <v>91150199</v>
      </c>
      <c r="B370" s="638" t="s">
        <v>696</v>
      </c>
      <c r="C370" s="311"/>
      <c r="D370" s="640">
        <v>2102.87</v>
      </c>
      <c r="E370" s="305">
        <f>SUMIF(Adjustments!A:A,A370,Adjustments!C:C)</f>
        <v>0</v>
      </c>
      <c r="F370" s="280">
        <f t="shared" si="5"/>
        <v>-2102.87</v>
      </c>
      <c r="G370" s="263" t="str">
        <f>VLOOKUP('Trial Balance'!$A370,'Code Allocation'!$A:$D,3,0)</f>
        <v>Balance Sheet</v>
      </c>
      <c r="H370" s="266" t="str">
        <f>VLOOKUP('Trial Balance'!$A370,'Code Allocation'!$A:$D,4,0)</f>
        <v>Debtors</v>
      </c>
      <c r="I370" s="267">
        <f>VLOOKUP('Trial Balance'!$A370,'Code Allocation'!$A:$E,5,0)</f>
        <v>0</v>
      </c>
      <c r="J370" s="268">
        <f>VLOOKUP('Trial Balance'!$A370,'Code Allocation'!$A:$F,6,0)</f>
        <v>0</v>
      </c>
    </row>
    <row r="371" spans="1:10" ht="15" hidden="1" customHeight="1" x14ac:dyDescent="0.3">
      <c r="A371" s="638">
        <v>91160199</v>
      </c>
      <c r="B371" s="638" t="s">
        <v>697</v>
      </c>
      <c r="C371" s="311"/>
      <c r="D371" s="640">
        <v>27592.01</v>
      </c>
      <c r="E371" s="305">
        <f>SUMIF(Adjustments!A:A,A371,Adjustments!C:C)</f>
        <v>0</v>
      </c>
      <c r="F371" s="642">
        <f t="shared" si="5"/>
        <v>-27592.01</v>
      </c>
      <c r="G371" s="263" t="str">
        <f>VLOOKUP('Trial Balance'!$A371,'Code Allocation'!$A:$D,3,0)</f>
        <v>Balance Sheet</v>
      </c>
      <c r="H371" s="266" t="str">
        <f>VLOOKUP('Trial Balance'!$A371,'Code Allocation'!$A:$D,4,0)</f>
        <v>Debtors</v>
      </c>
      <c r="I371" s="267">
        <f>VLOOKUP('Trial Balance'!$A371,'Code Allocation'!$A:$E,5,0)</f>
        <v>0</v>
      </c>
      <c r="J371" s="268">
        <f>VLOOKUP('Trial Balance'!$A371,'Code Allocation'!$A:$F,6,0)</f>
        <v>0</v>
      </c>
    </row>
    <row r="372" spans="1:10" ht="15" hidden="1" customHeight="1" x14ac:dyDescent="0.3">
      <c r="A372" s="638">
        <v>91960299</v>
      </c>
      <c r="B372" s="638" t="s">
        <v>698</v>
      </c>
      <c r="C372" s="638">
        <v>273.60000000000002</v>
      </c>
      <c r="D372" s="311"/>
      <c r="E372" s="305">
        <f>SUMIF(Adjustments!A:A,A372,Adjustments!C:C)</f>
        <v>0</v>
      </c>
      <c r="F372" s="278">
        <f t="shared" si="5"/>
        <v>273.60000000000002</v>
      </c>
      <c r="G372" s="263" t="str">
        <f>VLOOKUP('Trial Balance'!$A372,'Code Allocation'!$A:$D,3,0)</f>
        <v>Not allocated</v>
      </c>
      <c r="H372" s="266" t="str">
        <f>VLOOKUP('Trial Balance'!$A372,'Code Allocation'!$A:$D,4,0)</f>
        <v>Debtors</v>
      </c>
      <c r="I372" s="267">
        <f>VLOOKUP('Trial Balance'!$A372,'Code Allocation'!$A:$E,5,0)</f>
        <v>0</v>
      </c>
      <c r="J372" s="268">
        <f>VLOOKUP('Trial Balance'!$A372,'Code Allocation'!$A:$F,6,0)</f>
        <v>0</v>
      </c>
    </row>
    <row r="373" spans="1:10" ht="15" hidden="1" customHeight="1" x14ac:dyDescent="0.3">
      <c r="A373" s="638">
        <v>91990199</v>
      </c>
      <c r="B373" s="638" t="s">
        <v>699</v>
      </c>
      <c r="C373" s="638">
        <v>438.87</v>
      </c>
      <c r="D373" s="311"/>
      <c r="E373" s="305">
        <f>SUMIF(Adjustments!A:A,A373,Adjustments!C:C)</f>
        <v>0</v>
      </c>
      <c r="F373" s="280">
        <f t="shared" si="5"/>
        <v>438.87</v>
      </c>
      <c r="G373" s="263" t="str">
        <f>VLOOKUP('Trial Balance'!$A373,'Code Allocation'!$A:$D,3,0)</f>
        <v>Not allocated</v>
      </c>
      <c r="H373" s="266" t="str">
        <f>VLOOKUP('Trial Balance'!$A373,'Code Allocation'!$A:$D,4,0)</f>
        <v>Not allocated</v>
      </c>
      <c r="I373" s="267">
        <f>VLOOKUP('Trial Balance'!$A373,'Code Allocation'!$A:$E,5,0)</f>
        <v>0</v>
      </c>
      <c r="J373" s="268">
        <f>VLOOKUP('Trial Balance'!$A373,'Code Allocation'!$A:$F,6,0)</f>
        <v>0</v>
      </c>
    </row>
    <row r="374" spans="1:10" ht="15" hidden="1" customHeight="1" x14ac:dyDescent="0.3">
      <c r="A374" s="638">
        <v>92000199</v>
      </c>
      <c r="B374" s="638" t="s">
        <v>700</v>
      </c>
      <c r="C374" s="640">
        <v>9806.2199999999993</v>
      </c>
      <c r="D374" s="311"/>
      <c r="E374" s="305">
        <f>SUMIF(Adjustments!A:A,A374,Adjustments!C:C)</f>
        <v>0</v>
      </c>
      <c r="F374" s="642">
        <f t="shared" si="5"/>
        <v>9806.2199999999993</v>
      </c>
      <c r="G374" s="263" t="str">
        <f>VLOOKUP('Trial Balance'!$A374,'Code Allocation'!$A:$D,3,0)</f>
        <v>Balance Sheet</v>
      </c>
      <c r="H374" s="266" t="str">
        <f>VLOOKUP('Trial Balance'!$A374,'Code Allocation'!$A:$D,4,0)</f>
        <v>Creditors</v>
      </c>
      <c r="I374" s="267">
        <f>VLOOKUP('Trial Balance'!$A374,'Code Allocation'!$A:$E,5,0)</f>
        <v>0</v>
      </c>
      <c r="J374" s="268">
        <f>VLOOKUP('Trial Balance'!$A374,'Code Allocation'!$A:$F,6,0)</f>
        <v>0</v>
      </c>
    </row>
    <row r="375" spans="1:10" ht="15" hidden="1" customHeight="1" x14ac:dyDescent="0.3">
      <c r="A375" s="638">
        <v>92000299</v>
      </c>
      <c r="B375" s="638" t="s">
        <v>701</v>
      </c>
      <c r="C375" s="640">
        <v>5510.47</v>
      </c>
      <c r="D375" s="311"/>
      <c r="E375" s="305">
        <f>SUMIF(Adjustments!A:A,A375,Adjustments!C:C)</f>
        <v>0</v>
      </c>
      <c r="F375" s="280">
        <f t="shared" si="5"/>
        <v>5510.47</v>
      </c>
      <c r="G375" s="263" t="str">
        <f>VLOOKUP('Trial Balance'!$A375,'Code Allocation'!$A:$D,3,0)</f>
        <v>Not allocated</v>
      </c>
      <c r="H375" s="266" t="str">
        <f>VLOOKUP('Trial Balance'!$A375,'Code Allocation'!$A:$D,4,0)</f>
        <v>Creditors</v>
      </c>
      <c r="I375" s="267">
        <f>VLOOKUP('Trial Balance'!$A375,'Code Allocation'!$A:$E,5,0)</f>
        <v>0</v>
      </c>
      <c r="J375" s="268">
        <f>VLOOKUP('Trial Balance'!$A375,'Code Allocation'!$A:$F,6,0)</f>
        <v>0</v>
      </c>
    </row>
    <row r="376" spans="1:10" ht="15" hidden="1" customHeight="1" x14ac:dyDescent="0.3">
      <c r="A376" s="638">
        <v>92000399</v>
      </c>
      <c r="B376" s="638" t="s">
        <v>702</v>
      </c>
      <c r="C376" s="640">
        <v>4189.74</v>
      </c>
      <c r="D376" s="311"/>
      <c r="E376" s="305">
        <f>SUMIF(Adjustments!A:A,A376,Adjustments!C:C)</f>
        <v>0</v>
      </c>
      <c r="F376" s="280">
        <f t="shared" si="5"/>
        <v>4189.74</v>
      </c>
      <c r="G376" s="263" t="str">
        <f>VLOOKUP('Trial Balance'!$A376,'Code Allocation'!$A:$D,3,0)</f>
        <v>Not allocated</v>
      </c>
      <c r="H376" s="266" t="str">
        <f>VLOOKUP('Trial Balance'!$A376,'Code Allocation'!$A:$D,4,0)</f>
        <v>Not allocated</v>
      </c>
      <c r="I376" s="267">
        <f>VLOOKUP('Trial Balance'!$A376,'Code Allocation'!$A:$E,5,0)</f>
        <v>0</v>
      </c>
      <c r="J376" s="268">
        <f>VLOOKUP('Trial Balance'!$A376,'Code Allocation'!$A:$F,6,0)</f>
        <v>0</v>
      </c>
    </row>
    <row r="377" spans="1:10" ht="15" hidden="1" customHeight="1" x14ac:dyDescent="0.3">
      <c r="A377" s="638">
        <v>92000499</v>
      </c>
      <c r="B377" s="638" t="s">
        <v>703</v>
      </c>
      <c r="C377" s="640">
        <v>15454.46</v>
      </c>
      <c r="D377" s="311"/>
      <c r="E377" s="305">
        <f>SUMIF(Adjustments!A:A,A377,Adjustments!C:C)</f>
        <v>0</v>
      </c>
      <c r="F377" s="280">
        <f t="shared" si="5"/>
        <v>15454.46</v>
      </c>
      <c r="G377" s="263" t="str">
        <f>VLOOKUP('Trial Balance'!$A377,'Code Allocation'!$A:$D,3,0)</f>
        <v>Balance Sheet</v>
      </c>
      <c r="H377" s="266" t="str">
        <f>VLOOKUP('Trial Balance'!$A377,'Code Allocation'!$A:$D,4,0)</f>
        <v>Creditors</v>
      </c>
      <c r="I377" s="267">
        <f>VLOOKUP('Trial Balance'!$A377,'Code Allocation'!$A:$E,5,0)</f>
        <v>0</v>
      </c>
      <c r="J377" s="268">
        <f>VLOOKUP('Trial Balance'!$A377,'Code Allocation'!$A:$F,6,0)</f>
        <v>0</v>
      </c>
    </row>
    <row r="378" spans="1:10" ht="15" hidden="1" customHeight="1" x14ac:dyDescent="0.3">
      <c r="A378" s="638">
        <v>92000599</v>
      </c>
      <c r="B378" s="638" t="s">
        <v>704</v>
      </c>
      <c r="C378" s="640">
        <v>62249.79</v>
      </c>
      <c r="D378" s="311"/>
      <c r="E378" s="305">
        <f>SUMIF(Adjustments!A:A,A378,Adjustments!C:C)</f>
        <v>0</v>
      </c>
      <c r="F378" s="642">
        <f t="shared" si="5"/>
        <v>62249.79</v>
      </c>
      <c r="G378" s="263" t="str">
        <f>VLOOKUP('Trial Balance'!$A378,'Code Allocation'!$A:$D,3,0)</f>
        <v>Balance Sheet</v>
      </c>
      <c r="H378" s="266" t="str">
        <f>VLOOKUP('Trial Balance'!$A378,'Code Allocation'!$A:$D,4,0)</f>
        <v>Creditors</v>
      </c>
      <c r="I378" s="267">
        <f>VLOOKUP('Trial Balance'!$A378,'Code Allocation'!$A:$E,5,0)</f>
        <v>0</v>
      </c>
      <c r="J378" s="268">
        <f>VLOOKUP('Trial Balance'!$A378,'Code Allocation'!$A:$F,6,0)</f>
        <v>0</v>
      </c>
    </row>
    <row r="379" spans="1:10" ht="15" hidden="1" customHeight="1" x14ac:dyDescent="0.3">
      <c r="A379" s="638">
        <v>92000699</v>
      </c>
      <c r="B379" s="638" t="s">
        <v>705</v>
      </c>
      <c r="C379" s="638">
        <v>61.77</v>
      </c>
      <c r="D379" s="311"/>
      <c r="E379" s="305">
        <f>SUMIF(Adjustments!A:A,A379,Adjustments!C:C)</f>
        <v>0</v>
      </c>
      <c r="F379" s="642">
        <f t="shared" si="5"/>
        <v>61.77</v>
      </c>
      <c r="G379" s="263" t="str">
        <f>VLOOKUP('Trial Balance'!$A379,'Code Allocation'!$A:$D,3,0)</f>
        <v>Balance Sheet</v>
      </c>
      <c r="H379" s="266" t="str">
        <f>VLOOKUP('Trial Balance'!$A379,'Code Allocation'!$A:$D,4,0)</f>
        <v>Creditors</v>
      </c>
      <c r="I379" s="267">
        <f>VLOOKUP('Trial Balance'!$A379,'Code Allocation'!$A:$E,5,0)</f>
        <v>0</v>
      </c>
      <c r="J379" s="268">
        <f>VLOOKUP('Trial Balance'!$A379,'Code Allocation'!$A:$F,6,0)</f>
        <v>0</v>
      </c>
    </row>
    <row r="380" spans="1:10" ht="15" hidden="1" customHeight="1" x14ac:dyDescent="0.3">
      <c r="A380" s="638">
        <v>92000799</v>
      </c>
      <c r="B380" s="638" t="s">
        <v>706</v>
      </c>
      <c r="C380" s="638">
        <v>70</v>
      </c>
      <c r="D380" s="311"/>
      <c r="E380" s="305">
        <f>SUMIF(Adjustments!A:A,A380,Adjustments!C:C)</f>
        <v>0</v>
      </c>
      <c r="F380" s="280">
        <f t="shared" si="5"/>
        <v>70</v>
      </c>
      <c r="G380" s="263" t="str">
        <f>VLOOKUP('Trial Balance'!$A380,'Code Allocation'!$A:$D,3,0)</f>
        <v>Not allocated</v>
      </c>
      <c r="H380" s="266" t="str">
        <f>VLOOKUP('Trial Balance'!$A380,'Code Allocation'!$A:$D,4,0)</f>
        <v>Not allocated</v>
      </c>
      <c r="I380" s="267">
        <f>VLOOKUP('Trial Balance'!$A380,'Code Allocation'!$A:$E,5,0)</f>
        <v>0</v>
      </c>
      <c r="J380" s="268">
        <f>VLOOKUP('Trial Balance'!$A380,'Code Allocation'!$A:$F,6,0)</f>
        <v>0</v>
      </c>
    </row>
    <row r="381" spans="1:10" ht="15" hidden="1" customHeight="1" x14ac:dyDescent="0.3">
      <c r="A381" s="638">
        <v>92000899</v>
      </c>
      <c r="B381" s="638" t="s">
        <v>707</v>
      </c>
      <c r="C381" s="638">
        <v>600.72</v>
      </c>
      <c r="D381" s="311"/>
      <c r="E381" s="305">
        <f>SUMIF(Adjustments!A:A,A381,Adjustments!C:C)</f>
        <v>0</v>
      </c>
      <c r="F381" s="280">
        <f t="shared" si="5"/>
        <v>600.72</v>
      </c>
      <c r="G381" s="263" t="str">
        <f>VLOOKUP('Trial Balance'!$A381,'Code Allocation'!$A:$D,3,0)</f>
        <v>Balance Sheet</v>
      </c>
      <c r="H381" s="266" t="str">
        <f>VLOOKUP('Trial Balance'!$A381,'Code Allocation'!$A:$D,4,0)</f>
        <v>Creditors</v>
      </c>
      <c r="I381" s="267">
        <f>VLOOKUP('Trial Balance'!$A381,'Code Allocation'!$A:$E,5,0)</f>
        <v>0</v>
      </c>
      <c r="J381" s="268">
        <f>VLOOKUP('Trial Balance'!$A381,'Code Allocation'!$A:$F,6,0)</f>
        <v>0</v>
      </c>
    </row>
    <row r="382" spans="1:10" ht="15" hidden="1" customHeight="1" x14ac:dyDescent="0.3">
      <c r="A382" s="638">
        <v>92050199</v>
      </c>
      <c r="B382" s="638" t="s">
        <v>708</v>
      </c>
      <c r="C382" s="638">
        <v>585.14</v>
      </c>
      <c r="D382" s="311"/>
      <c r="E382" s="305">
        <f>SUMIF(Adjustments!A:A,A382,Adjustments!C:C)</f>
        <v>0</v>
      </c>
      <c r="F382" s="280">
        <f t="shared" si="5"/>
        <v>585.14</v>
      </c>
      <c r="G382" s="263" t="str">
        <f>VLOOKUP('Trial Balance'!$A382,'Code Allocation'!$A:$D,3,0)</f>
        <v>Balance Sheet</v>
      </c>
      <c r="H382" s="266" t="str">
        <f>VLOOKUP('Trial Balance'!$A382,'Code Allocation'!$A:$D,4,0)</f>
        <v>Debtors</v>
      </c>
      <c r="I382" s="267">
        <f>VLOOKUP('Trial Balance'!$A382,'Code Allocation'!$A:$E,5,0)</f>
        <v>0</v>
      </c>
      <c r="J382" s="268">
        <f>VLOOKUP('Trial Balance'!$A382,'Code Allocation'!$A:$F,6,0)</f>
        <v>0</v>
      </c>
    </row>
    <row r="383" spans="1:10" ht="15" hidden="1" customHeight="1" x14ac:dyDescent="0.3">
      <c r="A383" s="638">
        <v>92200199</v>
      </c>
      <c r="B383" s="638" t="s">
        <v>709</v>
      </c>
      <c r="C383" s="640">
        <v>53180.1</v>
      </c>
      <c r="D383" s="311"/>
      <c r="E383" s="305">
        <f>SUMIF(Adjustments!A:A,A383,Adjustments!C:C)</f>
        <v>0</v>
      </c>
      <c r="F383" s="642">
        <f t="shared" si="5"/>
        <v>53180.1</v>
      </c>
      <c r="G383" s="263" t="str">
        <f>VLOOKUP('Trial Balance'!$A383,'Code Allocation'!$A:$D,3,0)</f>
        <v>Balance Sheet</v>
      </c>
      <c r="H383" s="266" t="str">
        <f>VLOOKUP('Trial Balance'!$A383,'Code Allocation'!$A:$D,4,0)</f>
        <v>Creditors</v>
      </c>
      <c r="I383" s="267">
        <f>VLOOKUP('Trial Balance'!$A383,'Code Allocation'!$A:$E,5,0)</f>
        <v>0</v>
      </c>
      <c r="J383" s="268">
        <f>VLOOKUP('Trial Balance'!$A383,'Code Allocation'!$A:$F,6,0)</f>
        <v>0</v>
      </c>
    </row>
    <row r="384" spans="1:10" ht="15" hidden="1" customHeight="1" x14ac:dyDescent="0.3">
      <c r="A384" s="638">
        <v>93105199</v>
      </c>
      <c r="B384" s="638" t="s">
        <v>710</v>
      </c>
      <c r="C384" s="311"/>
      <c r="D384" s="640">
        <v>20000</v>
      </c>
      <c r="E384" s="305">
        <f>SUMIF(Adjustments!A:A,A384,Adjustments!C:C)</f>
        <v>0</v>
      </c>
      <c r="F384" s="642">
        <f t="shared" si="5"/>
        <v>-20000</v>
      </c>
      <c r="G384" s="263" t="str">
        <f>VLOOKUP('Trial Balance'!$A384,'Code Allocation'!$A:$D,3,0)</f>
        <v>Balance Sheet</v>
      </c>
      <c r="H384" s="266" t="str">
        <f>VLOOKUP('Trial Balance'!$A384,'Code Allocation'!$A:$D,4,0)</f>
        <v>Capital grants deferred account</v>
      </c>
      <c r="I384" s="267">
        <f>VLOOKUP('Trial Balance'!$A384,'Code Allocation'!$A:$E,5,0)</f>
        <v>0</v>
      </c>
      <c r="J384" s="268">
        <f>VLOOKUP('Trial Balance'!$A384,'Code Allocation'!$A:$F,6,0)</f>
        <v>0</v>
      </c>
    </row>
    <row r="385" spans="1:10" ht="15" hidden="1" customHeight="1" x14ac:dyDescent="0.3">
      <c r="A385" s="638">
        <v>93152099</v>
      </c>
      <c r="B385" s="638" t="s">
        <v>711</v>
      </c>
      <c r="C385" s="640">
        <v>3042</v>
      </c>
      <c r="D385" s="311"/>
      <c r="E385" s="305">
        <f>SUMIF(Adjustments!A:A,A385,Adjustments!C:C)</f>
        <v>0</v>
      </c>
      <c r="F385" s="280">
        <f t="shared" si="5"/>
        <v>3042</v>
      </c>
      <c r="G385" s="263" t="str">
        <f>VLOOKUP('Trial Balance'!$A385,'Code Allocation'!$A:$D,3,0)</f>
        <v>Balance Sheet</v>
      </c>
      <c r="H385" s="266" t="str">
        <f>VLOOKUP('Trial Balance'!$A385,'Code Allocation'!$A:$D,4,0)</f>
        <v>Creditors</v>
      </c>
      <c r="I385" s="267">
        <f>VLOOKUP('Trial Balance'!$A385,'Code Allocation'!$A:$E,5,0)</f>
        <v>0</v>
      </c>
      <c r="J385" s="268">
        <f>VLOOKUP('Trial Balance'!$A385,'Code Allocation'!$A:$F,6,0)</f>
        <v>0</v>
      </c>
    </row>
    <row r="386" spans="1:10" ht="15" hidden="1" customHeight="1" x14ac:dyDescent="0.3">
      <c r="A386" s="638">
        <v>93152499</v>
      </c>
      <c r="B386" s="638" t="s">
        <v>712</v>
      </c>
      <c r="C386" s="640">
        <v>1000</v>
      </c>
      <c r="D386" s="311"/>
      <c r="E386" s="305">
        <f>SUMIF(Adjustments!A:A,A386,Adjustments!C:C)</f>
        <v>0</v>
      </c>
      <c r="F386" s="280">
        <f t="shared" si="5"/>
        <v>1000</v>
      </c>
      <c r="G386" s="263" t="str">
        <f>VLOOKUP('Trial Balance'!$A386,'Code Allocation'!$A:$D,3,0)</f>
        <v>Balance Sheet</v>
      </c>
      <c r="H386" s="266" t="str">
        <f>VLOOKUP('Trial Balance'!$A386,'Code Allocation'!$A:$D,4,0)</f>
        <v>Creditors</v>
      </c>
      <c r="I386" s="267">
        <f>VLOOKUP('Trial Balance'!$A386,'Code Allocation'!$A:$E,5,0)</f>
        <v>0</v>
      </c>
      <c r="J386" s="268">
        <f>VLOOKUP('Trial Balance'!$A386,'Code Allocation'!$A:$F,6,0)</f>
        <v>0</v>
      </c>
    </row>
    <row r="387" spans="1:10" ht="15" hidden="1" customHeight="1" x14ac:dyDescent="0.3">
      <c r="A387" s="638">
        <v>93200399</v>
      </c>
      <c r="B387" s="638" t="s">
        <v>713</v>
      </c>
      <c r="C387" s="640">
        <v>38403.03</v>
      </c>
      <c r="D387" s="311"/>
      <c r="E387" s="305">
        <f>SUMIF(Adjustments!A:A,A387,Adjustments!C:C)</f>
        <v>0</v>
      </c>
      <c r="F387" s="280">
        <f t="shared" si="5"/>
        <v>38403.03</v>
      </c>
      <c r="G387" s="263" t="str">
        <f>VLOOKUP('Trial Balance'!$A387,'Code Allocation'!$A:$D,3,0)</f>
        <v>Not allocated</v>
      </c>
      <c r="H387" s="266" t="str">
        <f>VLOOKUP('Trial Balance'!$A387,'Code Allocation'!$A:$D,4,0)</f>
        <v>General Fund</v>
      </c>
      <c r="I387" s="267">
        <f>VLOOKUP('Trial Balance'!$A387,'Code Allocation'!$A:$E,5,0)</f>
        <v>0</v>
      </c>
      <c r="J387" s="268">
        <f>VLOOKUP('Trial Balance'!$A387,'Code Allocation'!$A:$F,6,0)</f>
        <v>0</v>
      </c>
    </row>
    <row r="388" spans="1:10" ht="15" hidden="1" customHeight="1" x14ac:dyDescent="0.3">
      <c r="A388" s="638">
        <v>96000199</v>
      </c>
      <c r="B388" s="638" t="s">
        <v>714</v>
      </c>
      <c r="C388" s="640">
        <v>53622.35</v>
      </c>
      <c r="D388" s="311"/>
      <c r="E388" s="305">
        <f>SUMIF(Adjustments!A:A,A388,Adjustments!C:C)</f>
        <v>0</v>
      </c>
      <c r="F388" s="280">
        <f t="shared" si="5"/>
        <v>53622.35</v>
      </c>
      <c r="G388" s="263" t="str">
        <f>VLOOKUP('Trial Balance'!$A388,'Code Allocation'!$A:$D,3,0)</f>
        <v>Balance Sheet</v>
      </c>
      <c r="H388" s="266" t="str">
        <f>VLOOKUP('Trial Balance'!$A388,'Code Allocation'!$A:$D,4,0)</f>
        <v>Long Term Borrowing</v>
      </c>
      <c r="I388" s="267">
        <f>VLOOKUP('Trial Balance'!$A388,'Code Allocation'!$A:$E,5,0)</f>
        <v>0</v>
      </c>
      <c r="J388" s="268">
        <f>VLOOKUP('Trial Balance'!$A388,'Code Allocation'!$A:$F,6,0)</f>
        <v>0</v>
      </c>
    </row>
    <row r="389" spans="1:10" ht="15" hidden="1" customHeight="1" x14ac:dyDescent="0.3">
      <c r="A389" s="638">
        <v>98360199</v>
      </c>
      <c r="B389" s="638" t="s">
        <v>715</v>
      </c>
      <c r="C389" s="640">
        <v>3291.29</v>
      </c>
      <c r="D389" s="311"/>
      <c r="E389" s="305">
        <f>SUMIF(Adjustments!A:A,A389,Adjustments!C:C)</f>
        <v>0</v>
      </c>
      <c r="F389" s="278">
        <f t="shared" si="5"/>
        <v>3291.29</v>
      </c>
      <c r="G389" s="263" t="str">
        <f>VLOOKUP('Trial Balance'!$A389,'Code Allocation'!$A:$D,3,0)</f>
        <v>Not allocated</v>
      </c>
      <c r="H389" s="266" t="str">
        <f>VLOOKUP('Trial Balance'!$A389,'Code Allocation'!$A:$D,4,0)</f>
        <v>Not allocated</v>
      </c>
      <c r="I389" s="267">
        <f>VLOOKUP('Trial Balance'!$A389,'Code Allocation'!$A:$E,5,0)</f>
        <v>0</v>
      </c>
      <c r="J389" s="268">
        <f>VLOOKUP('Trial Balance'!$A389,'Code Allocation'!$A:$F,6,0)</f>
        <v>0</v>
      </c>
    </row>
    <row r="390" spans="1:10" ht="15" hidden="1" customHeight="1" x14ac:dyDescent="0.3">
      <c r="A390" s="309"/>
      <c r="B390" s="309"/>
      <c r="C390" s="310"/>
      <c r="D390" s="310"/>
      <c r="E390" s="305">
        <f>SUMIF(Adjustments!A:A,A390,Adjustments!C:C)</f>
        <v>0</v>
      </c>
      <c r="F390" s="280">
        <f t="shared" si="5"/>
        <v>0</v>
      </c>
      <c r="G390" s="263" t="e">
        <f>VLOOKUP('Trial Balance'!$A390,'Code Allocation'!$A:$D,3,0)</f>
        <v>#N/A</v>
      </c>
      <c r="H390" s="266" t="e">
        <f>VLOOKUP('Trial Balance'!$A390,'Code Allocation'!$A:$D,4,0)</f>
        <v>#N/A</v>
      </c>
      <c r="I390" s="267" t="e">
        <f>VLOOKUP('Trial Balance'!$A390,'Code Allocation'!$A:$E,5,0)</f>
        <v>#N/A</v>
      </c>
      <c r="J390" s="268" t="e">
        <f>VLOOKUP('Trial Balance'!$A390,'Code Allocation'!$A:$F,6,0)</f>
        <v>#N/A</v>
      </c>
    </row>
    <row r="391" spans="1:10" ht="15" hidden="1" customHeight="1" x14ac:dyDescent="0.3">
      <c r="A391" s="644"/>
      <c r="B391" s="644"/>
      <c r="C391" s="644"/>
      <c r="D391" s="644"/>
      <c r="E391" s="305">
        <f>SUMIF(Adjustments!A:A,A391,Adjustments!C:C)</f>
        <v>0</v>
      </c>
      <c r="F391" s="280">
        <f t="shared" si="5"/>
        <v>0</v>
      </c>
      <c r="G391" s="263" t="e">
        <f>VLOOKUP('Trial Balance'!$A391,'Code Allocation'!$A:$D,3,0)</f>
        <v>#N/A</v>
      </c>
      <c r="H391" s="266" t="e">
        <f>VLOOKUP('Trial Balance'!$A391,'Code Allocation'!$A:$D,4,0)</f>
        <v>#N/A</v>
      </c>
      <c r="I391" s="267" t="e">
        <f>VLOOKUP('Trial Balance'!$A391,'Code Allocation'!$A:$E,5,0)</f>
        <v>#N/A</v>
      </c>
      <c r="J391" s="268" t="e">
        <f>VLOOKUP('Trial Balance'!$A391,'Code Allocation'!$A:$F,6,0)</f>
        <v>#N/A</v>
      </c>
    </row>
    <row r="392" spans="1:10" ht="15" hidden="1" customHeight="1" x14ac:dyDescent="0.3">
      <c r="A392" s="644"/>
      <c r="B392" s="644"/>
      <c r="C392" s="644"/>
      <c r="D392" s="644"/>
      <c r="E392" s="305">
        <f>SUMIF(Adjustments!A:A,A392,Adjustments!C:C)</f>
        <v>0</v>
      </c>
      <c r="F392" s="280">
        <f t="shared" si="5"/>
        <v>0</v>
      </c>
      <c r="G392" s="263" t="e">
        <f>VLOOKUP('Trial Balance'!$A392,'Code Allocation'!$A:$D,3,0)</f>
        <v>#N/A</v>
      </c>
      <c r="H392" s="266" t="e">
        <f>VLOOKUP('Trial Balance'!$A392,'Code Allocation'!$A:$D,4,0)</f>
        <v>#N/A</v>
      </c>
      <c r="I392" s="267" t="e">
        <f>VLOOKUP('Trial Balance'!$A392,'Code Allocation'!$A:$E,5,0)</f>
        <v>#N/A</v>
      </c>
      <c r="J392" s="268" t="e">
        <f>VLOOKUP('Trial Balance'!$A392,'Code Allocation'!$A:$F,6,0)</f>
        <v>#N/A</v>
      </c>
    </row>
    <row r="393" spans="1:10" ht="15" hidden="1" customHeight="1" x14ac:dyDescent="0.3">
      <c r="A393" s="644"/>
      <c r="B393" s="644"/>
      <c r="C393" s="644"/>
      <c r="D393" s="644"/>
      <c r="E393" s="305">
        <f>SUMIF(Adjustments!A:A,A393,Adjustments!C:C)</f>
        <v>0</v>
      </c>
      <c r="F393" s="280">
        <f t="shared" si="5"/>
        <v>0</v>
      </c>
      <c r="G393" s="263" t="e">
        <f>VLOOKUP('Trial Balance'!$A393,'Code Allocation'!$A:$D,3,0)</f>
        <v>#N/A</v>
      </c>
      <c r="H393" s="266" t="e">
        <f>VLOOKUP('Trial Balance'!$A393,'Code Allocation'!$A:$D,4,0)</f>
        <v>#N/A</v>
      </c>
      <c r="I393" s="267" t="e">
        <f>VLOOKUP('Trial Balance'!$A393,'Code Allocation'!$A:$E,5,0)</f>
        <v>#N/A</v>
      </c>
      <c r="J393" s="268" t="e">
        <f>VLOOKUP('Trial Balance'!$A393,'Code Allocation'!$A:$F,6,0)</f>
        <v>#N/A</v>
      </c>
    </row>
    <row r="394" spans="1:10" ht="15" hidden="1" customHeight="1" x14ac:dyDescent="0.3">
      <c r="A394" s="644"/>
      <c r="B394" s="644"/>
      <c r="C394" s="645"/>
      <c r="D394" s="644"/>
      <c r="E394" s="305">
        <f>SUMIF(Adjustments!A:A,A394,Adjustments!C:C)</f>
        <v>0</v>
      </c>
      <c r="F394" s="280">
        <f t="shared" si="5"/>
        <v>0</v>
      </c>
      <c r="G394" s="263" t="e">
        <f>VLOOKUP('Trial Balance'!$A394,'Code Allocation'!$A:$D,3,0)</f>
        <v>#N/A</v>
      </c>
      <c r="H394" s="266" t="e">
        <f>VLOOKUP('Trial Balance'!$A394,'Code Allocation'!$A:$D,4,0)</f>
        <v>#N/A</v>
      </c>
      <c r="I394" s="267" t="e">
        <f>VLOOKUP('Trial Balance'!$A394,'Code Allocation'!$A:$E,5,0)</f>
        <v>#N/A</v>
      </c>
      <c r="J394" s="268" t="e">
        <f>VLOOKUP('Trial Balance'!$A394,'Code Allocation'!$A:$F,6,0)</f>
        <v>#N/A</v>
      </c>
    </row>
    <row r="395" spans="1:10" ht="15" hidden="1" customHeight="1" x14ac:dyDescent="0.3">
      <c r="A395" s="644"/>
      <c r="B395" s="644"/>
      <c r="C395" s="644"/>
      <c r="D395" s="644"/>
      <c r="E395" s="305">
        <f>SUMIF(Adjustments!A:A,A395,Adjustments!C:C)</f>
        <v>0</v>
      </c>
      <c r="F395" s="642">
        <f t="shared" si="5"/>
        <v>0</v>
      </c>
      <c r="G395" s="263" t="e">
        <f>VLOOKUP('Trial Balance'!$A395,'Code Allocation'!$A:$D,3,0)</f>
        <v>#N/A</v>
      </c>
      <c r="H395" s="266" t="e">
        <f>VLOOKUP('Trial Balance'!$A395,'Code Allocation'!$A:$D,4,0)</f>
        <v>#N/A</v>
      </c>
      <c r="I395" s="267" t="e">
        <f>VLOOKUP('Trial Balance'!$A395,'Code Allocation'!$A:$E,5,0)</f>
        <v>#N/A</v>
      </c>
      <c r="J395" s="268" t="e">
        <f>VLOOKUP('Trial Balance'!$A395,'Code Allocation'!$A:$F,6,0)</f>
        <v>#N/A</v>
      </c>
    </row>
    <row r="396" spans="1:10" ht="15" hidden="1" customHeight="1" x14ac:dyDescent="0.3">
      <c r="A396" s="644"/>
      <c r="B396" s="644"/>
      <c r="C396" s="644"/>
      <c r="D396" s="644"/>
      <c r="E396" s="305">
        <f>SUMIF(Adjustments!A:A,A396,Adjustments!C:C)</f>
        <v>0</v>
      </c>
      <c r="F396" s="280">
        <f t="shared" si="5"/>
        <v>0</v>
      </c>
      <c r="G396" s="263" t="e">
        <f>VLOOKUP('Trial Balance'!$A396,'Code Allocation'!$A:$D,3,0)</f>
        <v>#N/A</v>
      </c>
      <c r="H396" s="266" t="e">
        <f>VLOOKUP('Trial Balance'!$A396,'Code Allocation'!$A:$D,4,0)</f>
        <v>#N/A</v>
      </c>
      <c r="I396" s="267" t="e">
        <f>VLOOKUP('Trial Balance'!$A396,'Code Allocation'!$A:$E,5,0)</f>
        <v>#N/A</v>
      </c>
      <c r="J396" s="268" t="e">
        <f>VLOOKUP('Trial Balance'!$A396,'Code Allocation'!$A:$F,6,0)</f>
        <v>#N/A</v>
      </c>
    </row>
    <row r="397" spans="1:10" ht="15" hidden="1" customHeight="1" x14ac:dyDescent="0.3">
      <c r="A397" s="644"/>
      <c r="B397" s="644"/>
      <c r="C397" s="644"/>
      <c r="D397" s="644"/>
      <c r="E397" s="305">
        <f>SUMIF(Adjustments!A:A,A397,Adjustments!C:C)</f>
        <v>0</v>
      </c>
      <c r="F397" s="280">
        <f t="shared" si="5"/>
        <v>0</v>
      </c>
      <c r="G397" s="263" t="e">
        <f>VLOOKUP('Trial Balance'!$A397,'Code Allocation'!$A:$D,3,0)</f>
        <v>#N/A</v>
      </c>
      <c r="H397" s="266" t="e">
        <f>VLOOKUP('Trial Balance'!$A397,'Code Allocation'!$A:$D,4,0)</f>
        <v>#N/A</v>
      </c>
      <c r="I397" s="267" t="e">
        <f>VLOOKUP('Trial Balance'!$A397,'Code Allocation'!$A:$E,5,0)</f>
        <v>#N/A</v>
      </c>
      <c r="J397" s="268" t="e">
        <f>VLOOKUP('Trial Balance'!$A397,'Code Allocation'!$A:$F,6,0)</f>
        <v>#N/A</v>
      </c>
    </row>
    <row r="398" spans="1:10" ht="15" hidden="1" customHeight="1" x14ac:dyDescent="0.3">
      <c r="A398" s="644"/>
      <c r="B398" s="644"/>
      <c r="C398" s="644"/>
      <c r="D398" s="644"/>
      <c r="E398" s="305">
        <f>SUMIF(Adjustments!A:A,A398,Adjustments!C:C)</f>
        <v>0</v>
      </c>
      <c r="F398" s="280">
        <f t="shared" si="5"/>
        <v>0</v>
      </c>
      <c r="G398" s="263" t="e">
        <f>VLOOKUP('Trial Balance'!$A398,'Code Allocation'!$A:$D,3,0)</f>
        <v>#N/A</v>
      </c>
      <c r="H398" s="266" t="e">
        <f>VLOOKUP('Trial Balance'!$A398,'Code Allocation'!$A:$D,4,0)</f>
        <v>#N/A</v>
      </c>
      <c r="I398" s="267" t="e">
        <f>VLOOKUP('Trial Balance'!$A398,'Code Allocation'!$A:$E,5,0)</f>
        <v>#N/A</v>
      </c>
      <c r="J398" s="268" t="e">
        <f>VLOOKUP('Trial Balance'!$A398,'Code Allocation'!$A:$F,6,0)</f>
        <v>#N/A</v>
      </c>
    </row>
    <row r="399" spans="1:10" ht="15" hidden="1" customHeight="1" x14ac:dyDescent="0.3">
      <c r="A399" s="644"/>
      <c r="B399" s="644"/>
      <c r="C399" s="644"/>
      <c r="D399" s="644"/>
      <c r="E399" s="305">
        <f>SUMIF(Adjustments!A:A,A399,Adjustments!C:C)</f>
        <v>0</v>
      </c>
      <c r="F399" s="280">
        <f t="shared" si="5"/>
        <v>0</v>
      </c>
      <c r="G399" s="263" t="e">
        <f>VLOOKUP('Trial Balance'!$A399,'Code Allocation'!$A:$D,3,0)</f>
        <v>#N/A</v>
      </c>
      <c r="H399" s="266" t="e">
        <f>VLOOKUP('Trial Balance'!$A399,'Code Allocation'!$A:$D,4,0)</f>
        <v>#N/A</v>
      </c>
      <c r="I399" s="267" t="e">
        <f>VLOOKUP('Trial Balance'!$A399,'Code Allocation'!$A:$E,5,0)</f>
        <v>#N/A</v>
      </c>
      <c r="J399" s="268" t="e">
        <f>VLOOKUP('Trial Balance'!$A399,'Code Allocation'!$A:$F,6,0)</f>
        <v>#N/A</v>
      </c>
    </row>
    <row r="400" spans="1:10" ht="15" hidden="1" customHeight="1" x14ac:dyDescent="0.3">
      <c r="A400" s="644"/>
      <c r="B400" s="644"/>
      <c r="C400" s="644"/>
      <c r="D400" s="644"/>
      <c r="E400" s="305">
        <f>SUMIF(Adjustments!A:A,A400,Adjustments!C:C)</f>
        <v>0</v>
      </c>
      <c r="F400" s="280">
        <f t="shared" si="5"/>
        <v>0</v>
      </c>
      <c r="G400" s="263" t="e">
        <f>VLOOKUP('Trial Balance'!$A400,'Code Allocation'!$A:$D,3,0)</f>
        <v>#N/A</v>
      </c>
      <c r="H400" s="266" t="e">
        <f>VLOOKUP('Trial Balance'!$A400,'Code Allocation'!$A:$D,4,0)</f>
        <v>#N/A</v>
      </c>
      <c r="I400" s="267" t="e">
        <f>VLOOKUP('Trial Balance'!$A400,'Code Allocation'!$A:$E,5,0)</f>
        <v>#N/A</v>
      </c>
      <c r="J400" s="268" t="e">
        <f>VLOOKUP('Trial Balance'!$A400,'Code Allocation'!$A:$F,6,0)</f>
        <v>#N/A</v>
      </c>
    </row>
    <row r="401" spans="1:10" ht="15" hidden="1" customHeight="1" x14ac:dyDescent="0.3">
      <c r="A401" s="644"/>
      <c r="B401" s="644"/>
      <c r="C401" s="644"/>
      <c r="D401" s="644"/>
      <c r="E401" s="305">
        <f>SUMIF(Adjustments!A:A,A401,Adjustments!C:C)</f>
        <v>0</v>
      </c>
      <c r="F401" s="280">
        <f t="shared" si="5"/>
        <v>0</v>
      </c>
      <c r="G401" s="263" t="e">
        <f>VLOOKUP('Trial Balance'!$A401,'Code Allocation'!$A:$D,3,0)</f>
        <v>#N/A</v>
      </c>
      <c r="H401" s="266" t="e">
        <f>VLOOKUP('Trial Balance'!$A401,'Code Allocation'!$A:$D,4,0)</f>
        <v>#N/A</v>
      </c>
      <c r="I401" s="267" t="e">
        <f>VLOOKUP('Trial Balance'!$A401,'Code Allocation'!$A:$E,5,0)</f>
        <v>#N/A</v>
      </c>
      <c r="J401" s="268" t="e">
        <f>VLOOKUP('Trial Balance'!$A401,'Code Allocation'!$A:$F,6,0)</f>
        <v>#N/A</v>
      </c>
    </row>
    <row r="402" spans="1:10" ht="15" hidden="1" customHeight="1" x14ac:dyDescent="0.3">
      <c r="A402" s="644"/>
      <c r="B402" s="644"/>
      <c r="C402" s="644"/>
      <c r="D402" s="644"/>
      <c r="E402" s="305">
        <f>SUMIF(Adjustments!A:A,A402,Adjustments!C:C)</f>
        <v>0</v>
      </c>
      <c r="F402" s="280">
        <f t="shared" si="5"/>
        <v>0</v>
      </c>
      <c r="G402" s="263" t="e">
        <f>VLOOKUP('Trial Balance'!$A402,'Code Allocation'!$A:$D,3,0)</f>
        <v>#N/A</v>
      </c>
      <c r="H402" s="266" t="e">
        <f>VLOOKUP('Trial Balance'!$A402,'Code Allocation'!$A:$D,4,0)</f>
        <v>#N/A</v>
      </c>
      <c r="I402" s="267" t="e">
        <f>VLOOKUP('Trial Balance'!$A402,'Code Allocation'!$A:$E,5,0)</f>
        <v>#N/A</v>
      </c>
      <c r="J402" s="268" t="e">
        <f>VLOOKUP('Trial Balance'!$A402,'Code Allocation'!$A:$F,6,0)</f>
        <v>#N/A</v>
      </c>
    </row>
    <row r="403" spans="1:10" ht="15" hidden="1" customHeight="1" x14ac:dyDescent="0.3">
      <c r="A403" s="644"/>
      <c r="B403" s="644"/>
      <c r="C403" s="644"/>
      <c r="D403" s="644"/>
      <c r="E403" s="305">
        <f>SUMIF(Adjustments!A:A,A403,Adjustments!C:C)</f>
        <v>0</v>
      </c>
      <c r="F403" s="280">
        <f t="shared" si="5"/>
        <v>0</v>
      </c>
      <c r="G403" s="263" t="e">
        <f>VLOOKUP('Trial Balance'!$A403,'Code Allocation'!$A:$D,3,0)</f>
        <v>#N/A</v>
      </c>
      <c r="H403" s="266" t="e">
        <f>VLOOKUP('Trial Balance'!$A403,'Code Allocation'!$A:$D,4,0)</f>
        <v>#N/A</v>
      </c>
      <c r="I403" s="267" t="e">
        <f>VLOOKUP('Trial Balance'!$A403,'Code Allocation'!$A:$E,5,0)</f>
        <v>#N/A</v>
      </c>
      <c r="J403" s="268" t="e">
        <f>VLOOKUP('Trial Balance'!$A403,'Code Allocation'!$A:$F,6,0)</f>
        <v>#N/A</v>
      </c>
    </row>
    <row r="404" spans="1:10" ht="15" hidden="1" customHeight="1" x14ac:dyDescent="0.3">
      <c r="A404" s="644"/>
      <c r="B404" s="644"/>
      <c r="C404" s="644"/>
      <c r="D404" s="644"/>
      <c r="E404" s="305">
        <f>SUMIF(Adjustments!A:A,A404,Adjustments!C:C)</f>
        <v>0</v>
      </c>
      <c r="F404" s="280">
        <f t="shared" si="5"/>
        <v>0</v>
      </c>
      <c r="G404" s="263" t="e">
        <f>VLOOKUP('Trial Balance'!$A404,'Code Allocation'!$A:$D,3,0)</f>
        <v>#N/A</v>
      </c>
      <c r="H404" s="266" t="e">
        <f>VLOOKUP('Trial Balance'!$A404,'Code Allocation'!$A:$D,4,0)</f>
        <v>#N/A</v>
      </c>
      <c r="I404" s="267" t="e">
        <f>VLOOKUP('Trial Balance'!$A404,'Code Allocation'!$A:$E,5,0)</f>
        <v>#N/A</v>
      </c>
      <c r="J404" s="268" t="e">
        <f>VLOOKUP('Trial Balance'!$A404,'Code Allocation'!$A:$F,6,0)</f>
        <v>#N/A</v>
      </c>
    </row>
    <row r="405" spans="1:10" ht="15" hidden="1" customHeight="1" x14ac:dyDescent="0.3">
      <c r="A405" s="644"/>
      <c r="B405" s="644"/>
      <c r="C405" s="644"/>
      <c r="D405" s="644"/>
      <c r="E405" s="305">
        <f>SUMIF(Adjustments!A:A,A405,Adjustments!C:C)</f>
        <v>0</v>
      </c>
      <c r="F405" s="280">
        <f t="shared" si="5"/>
        <v>0</v>
      </c>
      <c r="G405" s="263" t="e">
        <f>VLOOKUP('Trial Balance'!$A405,'Code Allocation'!$A:$D,3,0)</f>
        <v>#N/A</v>
      </c>
      <c r="H405" s="266" t="e">
        <f>VLOOKUP('Trial Balance'!$A405,'Code Allocation'!$A:$D,4,0)</f>
        <v>#N/A</v>
      </c>
      <c r="I405" s="267" t="e">
        <f>VLOOKUP('Trial Balance'!$A405,'Code Allocation'!$A:$E,5,0)</f>
        <v>#N/A</v>
      </c>
      <c r="J405" s="268" t="e">
        <f>VLOOKUP('Trial Balance'!$A405,'Code Allocation'!$A:$F,6,0)</f>
        <v>#N/A</v>
      </c>
    </row>
    <row r="406" spans="1:10" ht="15" hidden="1" customHeight="1" x14ac:dyDescent="0.3">
      <c r="A406" s="644"/>
      <c r="B406" s="644"/>
      <c r="C406" s="644"/>
      <c r="D406" s="644"/>
      <c r="E406" s="305">
        <f>SUMIF(Adjustments!A:A,A406,Adjustments!C:C)</f>
        <v>0</v>
      </c>
      <c r="F406" s="280">
        <f t="shared" si="5"/>
        <v>0</v>
      </c>
      <c r="G406" s="263" t="e">
        <f>VLOOKUP('Trial Balance'!$A406,'Code Allocation'!$A:$D,3,0)</f>
        <v>#N/A</v>
      </c>
      <c r="H406" s="266" t="e">
        <f>VLOOKUP('Trial Balance'!$A406,'Code Allocation'!$A:$D,4,0)</f>
        <v>#N/A</v>
      </c>
      <c r="I406" s="267" t="e">
        <f>VLOOKUP('Trial Balance'!$A406,'Code Allocation'!$A:$E,5,0)</f>
        <v>#N/A</v>
      </c>
      <c r="J406" s="268" t="e">
        <f>VLOOKUP('Trial Balance'!$A406,'Code Allocation'!$A:$F,6,0)</f>
        <v>#N/A</v>
      </c>
    </row>
    <row r="407" spans="1:10" ht="15" hidden="1" customHeight="1" x14ac:dyDescent="0.3">
      <c r="A407" s="644"/>
      <c r="B407" s="644"/>
      <c r="C407" s="644"/>
      <c r="D407" s="644"/>
      <c r="E407" s="305">
        <f>SUMIF(Adjustments!A:A,A407,Adjustments!C:C)</f>
        <v>0</v>
      </c>
      <c r="F407" s="280">
        <f t="shared" si="5"/>
        <v>0</v>
      </c>
      <c r="G407" s="263" t="e">
        <f>VLOOKUP('Trial Balance'!$A407,'Code Allocation'!$A:$D,3,0)</f>
        <v>#N/A</v>
      </c>
      <c r="H407" s="266" t="e">
        <f>VLOOKUP('Trial Balance'!$A407,'Code Allocation'!$A:$D,4,0)</f>
        <v>#N/A</v>
      </c>
      <c r="I407" s="267" t="e">
        <f>VLOOKUP('Trial Balance'!$A407,'Code Allocation'!$A:$E,5,0)</f>
        <v>#N/A</v>
      </c>
      <c r="J407" s="268" t="e">
        <f>VLOOKUP('Trial Balance'!$A407,'Code Allocation'!$A:$F,6,0)</f>
        <v>#N/A</v>
      </c>
    </row>
    <row r="408" spans="1:10" ht="15" hidden="1" customHeight="1" x14ac:dyDescent="0.3">
      <c r="A408" s="644"/>
      <c r="B408" s="644"/>
      <c r="C408" s="644"/>
      <c r="D408" s="644"/>
      <c r="E408" s="305">
        <f>SUMIF(Adjustments!A:A,A408,Adjustments!C:C)</f>
        <v>0</v>
      </c>
      <c r="F408" s="280">
        <f t="shared" si="5"/>
        <v>0</v>
      </c>
      <c r="G408" s="263" t="e">
        <f>VLOOKUP('Trial Balance'!$A408,'Code Allocation'!$A:$D,3,0)</f>
        <v>#N/A</v>
      </c>
      <c r="H408" s="266" t="e">
        <f>VLOOKUP('Trial Balance'!$A408,'Code Allocation'!$A:$D,4,0)</f>
        <v>#N/A</v>
      </c>
      <c r="I408" s="267" t="e">
        <f>VLOOKUP('Trial Balance'!$A408,'Code Allocation'!$A:$E,5,0)</f>
        <v>#N/A</v>
      </c>
      <c r="J408" s="268" t="e">
        <f>VLOOKUP('Trial Balance'!$A408,'Code Allocation'!$A:$F,6,0)</f>
        <v>#N/A</v>
      </c>
    </row>
    <row r="409" spans="1:10" ht="15" hidden="1" customHeight="1" x14ac:dyDescent="0.3">
      <c r="A409" s="644"/>
      <c r="B409" s="644"/>
      <c r="C409" s="644"/>
      <c r="D409" s="644"/>
      <c r="E409" s="305">
        <f>SUMIF(Adjustments!A:A,A409,Adjustments!C:C)</f>
        <v>0</v>
      </c>
      <c r="F409" s="280">
        <f t="shared" si="5"/>
        <v>0</v>
      </c>
      <c r="G409" s="263" t="e">
        <f>VLOOKUP('Trial Balance'!$A409,'Code Allocation'!$A:$D,3,0)</f>
        <v>#N/A</v>
      </c>
      <c r="H409" s="266" t="e">
        <f>VLOOKUP('Trial Balance'!$A409,'Code Allocation'!$A:$D,4,0)</f>
        <v>#N/A</v>
      </c>
      <c r="I409" s="267" t="e">
        <f>VLOOKUP('Trial Balance'!$A409,'Code Allocation'!$A:$E,5,0)</f>
        <v>#N/A</v>
      </c>
      <c r="J409" s="268" t="e">
        <f>VLOOKUP('Trial Balance'!$A409,'Code Allocation'!$A:$F,6,0)</f>
        <v>#N/A</v>
      </c>
    </row>
    <row r="410" spans="1:10" ht="15" hidden="1" customHeight="1" x14ac:dyDescent="0.3">
      <c r="A410" s="644"/>
      <c r="B410" s="644"/>
      <c r="C410" s="644"/>
      <c r="D410" s="644"/>
      <c r="E410" s="305">
        <f>SUMIF(Adjustments!A:A,A410,Adjustments!C:C)</f>
        <v>0</v>
      </c>
      <c r="F410" s="280">
        <f t="shared" si="5"/>
        <v>0</v>
      </c>
      <c r="G410" s="263" t="e">
        <f>VLOOKUP('Trial Balance'!$A410,'Code Allocation'!$A:$D,3,0)</f>
        <v>#N/A</v>
      </c>
      <c r="H410" s="266" t="e">
        <f>VLOOKUP('Trial Balance'!$A410,'Code Allocation'!$A:$D,4,0)</f>
        <v>#N/A</v>
      </c>
      <c r="I410" s="267" t="e">
        <f>VLOOKUP('Trial Balance'!$A410,'Code Allocation'!$A:$E,5,0)</f>
        <v>#N/A</v>
      </c>
      <c r="J410" s="268" t="e">
        <f>VLOOKUP('Trial Balance'!$A410,'Code Allocation'!$A:$F,6,0)</f>
        <v>#N/A</v>
      </c>
    </row>
    <row r="411" spans="1:10" ht="15" hidden="1" customHeight="1" x14ac:dyDescent="0.3">
      <c r="A411" s="644"/>
      <c r="B411" s="644"/>
      <c r="C411" s="644"/>
      <c r="D411" s="644"/>
      <c r="E411" s="305">
        <f>SUMIF(Adjustments!A:A,A411,Adjustments!C:C)</f>
        <v>0</v>
      </c>
      <c r="F411" s="280">
        <f t="shared" si="5"/>
        <v>0</v>
      </c>
      <c r="G411" s="263" t="e">
        <f>VLOOKUP('Trial Balance'!$A411,'Code Allocation'!$A:$D,3,0)</f>
        <v>#N/A</v>
      </c>
      <c r="H411" s="266" t="e">
        <f>VLOOKUP('Trial Balance'!$A411,'Code Allocation'!$A:$D,4,0)</f>
        <v>#N/A</v>
      </c>
      <c r="I411" s="267" t="e">
        <f>VLOOKUP('Trial Balance'!$A411,'Code Allocation'!$A:$E,5,0)</f>
        <v>#N/A</v>
      </c>
      <c r="J411" s="268" t="e">
        <f>VLOOKUP('Trial Balance'!$A411,'Code Allocation'!$A:$F,6,0)</f>
        <v>#N/A</v>
      </c>
    </row>
    <row r="412" spans="1:10" ht="15" hidden="1" customHeight="1" x14ac:dyDescent="0.3">
      <c r="A412" s="644"/>
      <c r="B412" s="644"/>
      <c r="C412" s="645"/>
      <c r="D412" s="644"/>
      <c r="E412" s="305">
        <f>SUMIF(Adjustments!A:A,A412,Adjustments!C:C)</f>
        <v>0</v>
      </c>
      <c r="F412" s="280">
        <f t="shared" si="5"/>
        <v>0</v>
      </c>
      <c r="G412" s="263" t="e">
        <f>VLOOKUP('Trial Balance'!$A412,'Code Allocation'!$A:$D,3,0)</f>
        <v>#N/A</v>
      </c>
      <c r="H412" s="266" t="e">
        <f>VLOOKUP('Trial Balance'!$A412,'Code Allocation'!$A:$D,4,0)</f>
        <v>#N/A</v>
      </c>
      <c r="I412" s="267" t="e">
        <f>VLOOKUP('Trial Balance'!$A412,'Code Allocation'!$A:$E,5,0)</f>
        <v>#N/A</v>
      </c>
      <c r="J412" s="268" t="e">
        <f>VLOOKUP('Trial Balance'!$A412,'Code Allocation'!$A:$F,6,0)</f>
        <v>#N/A</v>
      </c>
    </row>
    <row r="413" spans="1:10" ht="15" hidden="1" customHeight="1" x14ac:dyDescent="0.3">
      <c r="A413" s="644"/>
      <c r="B413" s="644"/>
      <c r="C413" s="644"/>
      <c r="D413" s="644"/>
      <c r="E413" s="305">
        <f>SUMIF(Adjustments!A:A,A413,Adjustments!C:C)</f>
        <v>0</v>
      </c>
      <c r="F413" s="280">
        <f t="shared" si="5"/>
        <v>0</v>
      </c>
      <c r="G413" s="263" t="e">
        <f>VLOOKUP('Trial Balance'!$A413,'Code Allocation'!$A:$D,3,0)</f>
        <v>#N/A</v>
      </c>
      <c r="H413" s="266" t="e">
        <f>VLOOKUP('Trial Balance'!$A413,'Code Allocation'!$A:$D,4,0)</f>
        <v>#N/A</v>
      </c>
      <c r="I413" s="267" t="e">
        <f>VLOOKUP('Trial Balance'!$A413,'Code Allocation'!$A:$E,5,0)</f>
        <v>#N/A</v>
      </c>
      <c r="J413" s="268" t="e">
        <f>VLOOKUP('Trial Balance'!$A413,'Code Allocation'!$A:$F,6,0)</f>
        <v>#N/A</v>
      </c>
    </row>
    <row r="414" spans="1:10" ht="15" hidden="1" customHeight="1" x14ac:dyDescent="0.3">
      <c r="A414" s="644"/>
      <c r="B414" s="644"/>
      <c r="C414" s="644"/>
      <c r="D414" s="644"/>
      <c r="E414" s="305">
        <f>SUMIF(Adjustments!A:A,A414,Adjustments!C:C)</f>
        <v>0</v>
      </c>
      <c r="F414" s="280">
        <f t="shared" si="5"/>
        <v>0</v>
      </c>
      <c r="G414" s="263" t="e">
        <f>VLOOKUP('Trial Balance'!$A414,'Code Allocation'!$A:$D,3,0)</f>
        <v>#N/A</v>
      </c>
      <c r="H414" s="266" t="e">
        <f>VLOOKUP('Trial Balance'!$A414,'Code Allocation'!$A:$D,4,0)</f>
        <v>#N/A</v>
      </c>
      <c r="I414" s="267" t="e">
        <f>VLOOKUP('Trial Balance'!$A414,'Code Allocation'!$A:$E,5,0)</f>
        <v>#N/A</v>
      </c>
      <c r="J414" s="268" t="e">
        <f>VLOOKUP('Trial Balance'!$A414,'Code Allocation'!$A:$F,6,0)</f>
        <v>#N/A</v>
      </c>
    </row>
    <row r="415" spans="1:10" ht="15" hidden="1" customHeight="1" x14ac:dyDescent="0.3">
      <c r="A415" s="644"/>
      <c r="B415" s="644"/>
      <c r="C415" s="644"/>
      <c r="D415" s="644"/>
      <c r="E415" s="305">
        <f>SUMIF(Adjustments!A:A,A415,Adjustments!C:C)</f>
        <v>0</v>
      </c>
      <c r="F415" s="280">
        <f t="shared" si="5"/>
        <v>0</v>
      </c>
      <c r="G415" s="263" t="e">
        <f>VLOOKUP('Trial Balance'!$A415,'Code Allocation'!$A:$D,3,0)</f>
        <v>#N/A</v>
      </c>
      <c r="H415" s="266" t="e">
        <f>VLOOKUP('Trial Balance'!$A415,'Code Allocation'!$A:$D,4,0)</f>
        <v>#N/A</v>
      </c>
      <c r="I415" s="267" t="e">
        <f>VLOOKUP('Trial Balance'!$A415,'Code Allocation'!$A:$E,5,0)</f>
        <v>#N/A</v>
      </c>
      <c r="J415" s="268" t="e">
        <f>VLOOKUP('Trial Balance'!$A415,'Code Allocation'!$A:$F,6,0)</f>
        <v>#N/A</v>
      </c>
    </row>
    <row r="416" spans="1:10" ht="15" hidden="1" customHeight="1" x14ac:dyDescent="0.3">
      <c r="A416" s="644"/>
      <c r="B416" s="644"/>
      <c r="C416" s="644"/>
      <c r="D416" s="644"/>
      <c r="E416" s="305">
        <f>SUMIF(Adjustments!A:A,A416,Adjustments!C:C)</f>
        <v>0</v>
      </c>
      <c r="F416" s="280">
        <f t="shared" si="5"/>
        <v>0</v>
      </c>
      <c r="G416" s="263" t="e">
        <f>VLOOKUP('Trial Balance'!$A416,'Code Allocation'!$A:$D,3,0)</f>
        <v>#N/A</v>
      </c>
      <c r="H416" s="266" t="e">
        <f>VLOOKUP('Trial Balance'!$A416,'Code Allocation'!$A:$D,4,0)</f>
        <v>#N/A</v>
      </c>
      <c r="I416" s="267" t="e">
        <f>VLOOKUP('Trial Balance'!$A416,'Code Allocation'!$A:$E,5,0)</f>
        <v>#N/A</v>
      </c>
      <c r="J416" s="268" t="e">
        <f>VLOOKUP('Trial Balance'!$A416,'Code Allocation'!$A:$F,6,0)</f>
        <v>#N/A</v>
      </c>
    </row>
    <row r="417" spans="1:10" ht="15" hidden="1" customHeight="1" x14ac:dyDescent="0.3">
      <c r="A417" s="644"/>
      <c r="B417" s="644"/>
      <c r="C417" s="644"/>
      <c r="D417" s="644"/>
      <c r="E417" s="305">
        <f>SUMIF(Adjustments!A:A,A417,Adjustments!C:C)</f>
        <v>0</v>
      </c>
      <c r="F417" s="280">
        <f t="shared" si="5"/>
        <v>0</v>
      </c>
      <c r="G417" s="263" t="e">
        <f>VLOOKUP('Trial Balance'!$A417,'Code Allocation'!$A:$D,3,0)</f>
        <v>#N/A</v>
      </c>
      <c r="H417" s="266" t="e">
        <f>VLOOKUP('Trial Balance'!$A417,'Code Allocation'!$A:$D,4,0)</f>
        <v>#N/A</v>
      </c>
      <c r="I417" s="267" t="e">
        <f>VLOOKUP('Trial Balance'!$A417,'Code Allocation'!$A:$E,5,0)</f>
        <v>#N/A</v>
      </c>
      <c r="J417" s="268" t="e">
        <f>VLOOKUP('Trial Balance'!$A417,'Code Allocation'!$A:$F,6,0)</f>
        <v>#N/A</v>
      </c>
    </row>
    <row r="418" spans="1:10" ht="15" hidden="1" customHeight="1" x14ac:dyDescent="0.3">
      <c r="A418" s="644"/>
      <c r="B418" s="644"/>
      <c r="C418" s="644"/>
      <c r="D418" s="644"/>
      <c r="E418" s="305">
        <f>SUMIF(Adjustments!A:A,A418,Adjustments!C:C)</f>
        <v>0</v>
      </c>
      <c r="F418" s="280">
        <f t="shared" si="5"/>
        <v>0</v>
      </c>
      <c r="G418" s="263" t="e">
        <f>VLOOKUP('Trial Balance'!$A418,'Code Allocation'!$A:$D,3,0)</f>
        <v>#N/A</v>
      </c>
      <c r="H418" s="266" t="e">
        <f>VLOOKUP('Trial Balance'!$A418,'Code Allocation'!$A:$D,4,0)</f>
        <v>#N/A</v>
      </c>
      <c r="I418" s="267" t="e">
        <f>VLOOKUP('Trial Balance'!$A418,'Code Allocation'!$A:$E,5,0)</f>
        <v>#N/A</v>
      </c>
      <c r="J418" s="268" t="e">
        <f>VLOOKUP('Trial Balance'!$A418,'Code Allocation'!$A:$F,6,0)</f>
        <v>#N/A</v>
      </c>
    </row>
    <row r="419" spans="1:10" ht="15" hidden="1" customHeight="1" x14ac:dyDescent="0.3">
      <c r="A419" s="644"/>
      <c r="B419" s="644"/>
      <c r="C419" s="645"/>
      <c r="D419" s="644"/>
      <c r="E419" s="305">
        <f>SUMIF(Adjustments!A:A,A419,Adjustments!C:C)</f>
        <v>0</v>
      </c>
      <c r="F419" s="280">
        <f t="shared" si="5"/>
        <v>0</v>
      </c>
      <c r="G419" s="263" t="e">
        <f>VLOOKUP('Trial Balance'!$A419,'Code Allocation'!$A:$D,3,0)</f>
        <v>#N/A</v>
      </c>
      <c r="H419" s="266" t="e">
        <f>VLOOKUP('Trial Balance'!$A419,'Code Allocation'!$A:$D,4,0)</f>
        <v>#N/A</v>
      </c>
      <c r="I419" s="267" t="e">
        <f>VLOOKUP('Trial Balance'!$A419,'Code Allocation'!$A:$E,5,0)</f>
        <v>#N/A</v>
      </c>
      <c r="J419" s="268" t="e">
        <f>VLOOKUP('Trial Balance'!$A419,'Code Allocation'!$A:$F,6,0)</f>
        <v>#N/A</v>
      </c>
    </row>
    <row r="420" spans="1:10" ht="15" hidden="1" customHeight="1" x14ac:dyDescent="0.3">
      <c r="A420" s="644"/>
      <c r="B420" s="644"/>
      <c r="C420" s="645"/>
      <c r="D420" s="644"/>
      <c r="E420" s="305">
        <f>SUMIF(Adjustments!A:A,A420,Adjustments!C:C)</f>
        <v>0</v>
      </c>
      <c r="F420" s="280">
        <f t="shared" si="5"/>
        <v>0</v>
      </c>
      <c r="G420" s="263" t="e">
        <f>VLOOKUP('Trial Balance'!$A420,'Code Allocation'!$A:$D,3,0)</f>
        <v>#N/A</v>
      </c>
      <c r="H420" s="266" t="e">
        <f>VLOOKUP('Trial Balance'!$A420,'Code Allocation'!$A:$D,4,0)</f>
        <v>#N/A</v>
      </c>
      <c r="I420" s="267" t="e">
        <f>VLOOKUP('Trial Balance'!$A420,'Code Allocation'!$A:$E,5,0)</f>
        <v>#N/A</v>
      </c>
      <c r="J420" s="268" t="e">
        <f>VLOOKUP('Trial Balance'!$A420,'Code Allocation'!$A:$F,6,0)</f>
        <v>#N/A</v>
      </c>
    </row>
    <row r="421" spans="1:10" ht="15" hidden="1" customHeight="1" x14ac:dyDescent="0.3">
      <c r="A421" s="644"/>
      <c r="B421" s="644"/>
      <c r="C421" s="644"/>
      <c r="D421" s="644"/>
      <c r="E421" s="305">
        <f>SUMIF(Adjustments!A:A,A421,Adjustments!C:C)</f>
        <v>0</v>
      </c>
      <c r="F421" s="280">
        <f t="shared" si="5"/>
        <v>0</v>
      </c>
      <c r="G421" s="263" t="e">
        <f>VLOOKUP('Trial Balance'!$A421,'Code Allocation'!$A:$D,3,0)</f>
        <v>#N/A</v>
      </c>
      <c r="H421" s="266" t="e">
        <f>VLOOKUP('Trial Balance'!$A421,'Code Allocation'!$A:$D,4,0)</f>
        <v>#N/A</v>
      </c>
      <c r="I421" s="267" t="e">
        <f>VLOOKUP('Trial Balance'!$A421,'Code Allocation'!$A:$E,5,0)</f>
        <v>#N/A</v>
      </c>
      <c r="J421" s="268" t="e">
        <f>VLOOKUP('Trial Balance'!$A421,'Code Allocation'!$A:$F,6,0)</f>
        <v>#N/A</v>
      </c>
    </row>
    <row r="422" spans="1:10" ht="15" hidden="1" customHeight="1" x14ac:dyDescent="0.3">
      <c r="A422" s="644"/>
      <c r="B422" s="644"/>
      <c r="C422" s="645"/>
      <c r="D422" s="644"/>
      <c r="E422" s="305">
        <f>SUMIF(Adjustments!A:A,A422,Adjustments!C:C)</f>
        <v>0</v>
      </c>
      <c r="F422" s="280">
        <f t="shared" si="5"/>
        <v>0</v>
      </c>
      <c r="G422" s="263" t="e">
        <f>VLOOKUP('Trial Balance'!$A422,'Code Allocation'!$A:$D,3,0)</f>
        <v>#N/A</v>
      </c>
      <c r="H422" s="266" t="e">
        <f>VLOOKUP('Trial Balance'!$A422,'Code Allocation'!$A:$D,4,0)</f>
        <v>#N/A</v>
      </c>
      <c r="I422" s="267" t="e">
        <f>VLOOKUP('Trial Balance'!$A422,'Code Allocation'!$A:$E,5,0)</f>
        <v>#N/A</v>
      </c>
      <c r="J422" s="268" t="e">
        <f>VLOOKUP('Trial Balance'!$A422,'Code Allocation'!$A:$F,6,0)</f>
        <v>#N/A</v>
      </c>
    </row>
    <row r="423" spans="1:10" ht="15" hidden="1" customHeight="1" x14ac:dyDescent="0.3">
      <c r="A423" s="644"/>
      <c r="B423" s="644"/>
      <c r="C423" s="644"/>
      <c r="D423" s="644"/>
      <c r="E423" s="305">
        <f>SUMIF(Adjustments!A:A,A423,Adjustments!C:C)</f>
        <v>0</v>
      </c>
      <c r="F423" s="280">
        <f t="shared" si="5"/>
        <v>0</v>
      </c>
      <c r="G423" s="263" t="e">
        <f>VLOOKUP('Trial Balance'!$A423,'Code Allocation'!$A:$D,3,0)</f>
        <v>#N/A</v>
      </c>
      <c r="H423" s="266" t="e">
        <f>VLOOKUP('Trial Balance'!$A423,'Code Allocation'!$A:$D,4,0)</f>
        <v>#N/A</v>
      </c>
      <c r="I423" s="267" t="e">
        <f>VLOOKUP('Trial Balance'!$A423,'Code Allocation'!$A:$E,5,0)</f>
        <v>#N/A</v>
      </c>
      <c r="J423" s="268" t="e">
        <f>VLOOKUP('Trial Balance'!$A423,'Code Allocation'!$A:$F,6,0)</f>
        <v>#N/A</v>
      </c>
    </row>
    <row r="424" spans="1:10" ht="15" hidden="1" customHeight="1" x14ac:dyDescent="0.3">
      <c r="A424" s="644"/>
      <c r="B424" s="644"/>
      <c r="C424" s="644"/>
      <c r="D424" s="644"/>
      <c r="E424" s="305">
        <f>SUMIF(Adjustments!A:A,A424,Adjustments!C:C)</f>
        <v>0</v>
      </c>
      <c r="F424" s="280">
        <f t="shared" si="5"/>
        <v>0</v>
      </c>
      <c r="G424" s="263" t="e">
        <f>VLOOKUP('Trial Balance'!$A424,'Code Allocation'!$A:$D,3,0)</f>
        <v>#N/A</v>
      </c>
      <c r="H424" s="266" t="e">
        <f>VLOOKUP('Trial Balance'!$A424,'Code Allocation'!$A:$D,4,0)</f>
        <v>#N/A</v>
      </c>
      <c r="I424" s="267" t="e">
        <f>VLOOKUP('Trial Balance'!$A424,'Code Allocation'!$A:$E,5,0)</f>
        <v>#N/A</v>
      </c>
      <c r="J424" s="268" t="e">
        <f>VLOOKUP('Trial Balance'!$A424,'Code Allocation'!$A:$F,6,0)</f>
        <v>#N/A</v>
      </c>
    </row>
    <row r="425" spans="1:10" ht="15" hidden="1" customHeight="1" x14ac:dyDescent="0.3">
      <c r="A425" s="644"/>
      <c r="B425" s="644"/>
      <c r="C425" s="644"/>
      <c r="D425" s="644"/>
      <c r="E425" s="305">
        <f>SUMIF(Adjustments!A:A,A425,Adjustments!C:C)</f>
        <v>0</v>
      </c>
      <c r="F425" s="280">
        <f t="shared" si="5"/>
        <v>0</v>
      </c>
      <c r="G425" s="263" t="e">
        <f>VLOOKUP('Trial Balance'!$A425,'Code Allocation'!$A:$D,3,0)</f>
        <v>#N/A</v>
      </c>
      <c r="H425" s="266" t="e">
        <f>VLOOKUP('Trial Balance'!$A425,'Code Allocation'!$A:$D,4,0)</f>
        <v>#N/A</v>
      </c>
      <c r="I425" s="267" t="e">
        <f>VLOOKUP('Trial Balance'!$A425,'Code Allocation'!$A:$E,5,0)</f>
        <v>#N/A</v>
      </c>
      <c r="J425" s="268" t="e">
        <f>VLOOKUP('Trial Balance'!$A425,'Code Allocation'!$A:$F,6,0)</f>
        <v>#N/A</v>
      </c>
    </row>
    <row r="426" spans="1:10" ht="15" hidden="1" customHeight="1" x14ac:dyDescent="0.3">
      <c r="A426" s="644"/>
      <c r="B426" s="644"/>
      <c r="C426" s="644"/>
      <c r="D426" s="644"/>
      <c r="E426" s="305">
        <f>SUMIF(Adjustments!A:A,A426,Adjustments!C:C)</f>
        <v>0</v>
      </c>
      <c r="F426" s="280">
        <f t="shared" si="5"/>
        <v>0</v>
      </c>
      <c r="G426" s="263" t="e">
        <f>VLOOKUP('Trial Balance'!$A426,'Code Allocation'!$A:$D,3,0)</f>
        <v>#N/A</v>
      </c>
      <c r="H426" s="266" t="e">
        <f>VLOOKUP('Trial Balance'!$A426,'Code Allocation'!$A:$D,4,0)</f>
        <v>#N/A</v>
      </c>
      <c r="I426" s="267" t="e">
        <f>VLOOKUP('Trial Balance'!$A426,'Code Allocation'!$A:$E,5,0)</f>
        <v>#N/A</v>
      </c>
      <c r="J426" s="268" t="e">
        <f>VLOOKUP('Trial Balance'!$A426,'Code Allocation'!$A:$F,6,0)</f>
        <v>#N/A</v>
      </c>
    </row>
    <row r="427" spans="1:10" ht="15" hidden="1" customHeight="1" x14ac:dyDescent="0.3">
      <c r="A427" s="644"/>
      <c r="B427" s="644"/>
      <c r="C427" s="644"/>
      <c r="D427" s="644"/>
      <c r="E427" s="305">
        <f>SUMIF(Adjustments!A:A,A427,Adjustments!C:C)</f>
        <v>0</v>
      </c>
      <c r="F427" s="280">
        <f t="shared" si="5"/>
        <v>0</v>
      </c>
      <c r="G427" s="263" t="e">
        <f>VLOOKUP('Trial Balance'!$A427,'Code Allocation'!$A:$D,3,0)</f>
        <v>#N/A</v>
      </c>
      <c r="H427" s="266" t="e">
        <f>VLOOKUP('Trial Balance'!$A427,'Code Allocation'!$A:$D,4,0)</f>
        <v>#N/A</v>
      </c>
      <c r="I427" s="267" t="e">
        <f>VLOOKUP('Trial Balance'!$A427,'Code Allocation'!$A:$E,5,0)</f>
        <v>#N/A</v>
      </c>
      <c r="J427" s="268" t="e">
        <f>VLOOKUP('Trial Balance'!$A427,'Code Allocation'!$A:$F,6,0)</f>
        <v>#N/A</v>
      </c>
    </row>
    <row r="428" spans="1:10" ht="15" hidden="1" customHeight="1" x14ac:dyDescent="0.25">
      <c r="A428" s="644"/>
      <c r="B428" s="644"/>
      <c r="C428" s="644"/>
      <c r="D428" s="644"/>
      <c r="E428" s="305">
        <f>SUMIF(Adjustments!A:A,A428,Adjustments!C:C)</f>
        <v>0</v>
      </c>
      <c r="F428" s="278">
        <f t="shared" ref="F428:F491" si="6">C428-D428+E428</f>
        <v>0</v>
      </c>
      <c r="G428" s="263" t="e">
        <f>VLOOKUP('Trial Balance'!$A428,'Code Allocation'!$A:$D,3,0)</f>
        <v>#N/A</v>
      </c>
      <c r="H428" s="266" t="e">
        <f>VLOOKUP('Trial Balance'!$A428,'Code Allocation'!$A:$D,4,0)</f>
        <v>#N/A</v>
      </c>
      <c r="I428" s="267" t="e">
        <f>VLOOKUP('Trial Balance'!$A428,'Code Allocation'!$A:$E,5,0)</f>
        <v>#N/A</v>
      </c>
      <c r="J428" s="268" t="e">
        <f>VLOOKUP('Trial Balance'!$A428,'Code Allocation'!$A:$F,6,0)</f>
        <v>#N/A</v>
      </c>
    </row>
    <row r="429" spans="1:10" ht="15" hidden="1" customHeight="1" x14ac:dyDescent="0.25">
      <c r="A429" s="644"/>
      <c r="B429" s="644"/>
      <c r="C429" s="644"/>
      <c r="D429" s="644"/>
      <c r="E429" s="305">
        <f>SUMIF(Adjustments!A:A,A429,Adjustments!C:C)</f>
        <v>0</v>
      </c>
      <c r="F429" s="278">
        <f t="shared" si="6"/>
        <v>0</v>
      </c>
      <c r="G429" s="263" t="e">
        <f>VLOOKUP('Trial Balance'!$A429,'Code Allocation'!$A:$D,3,0)</f>
        <v>#N/A</v>
      </c>
      <c r="H429" s="266" t="e">
        <f>VLOOKUP('Trial Balance'!$A429,'Code Allocation'!$A:$D,4,0)</f>
        <v>#N/A</v>
      </c>
      <c r="I429" s="267" t="e">
        <f>VLOOKUP('Trial Balance'!$A429,'Code Allocation'!$A:$E,5,0)</f>
        <v>#N/A</v>
      </c>
      <c r="J429" s="268" t="e">
        <f>VLOOKUP('Trial Balance'!$A429,'Code Allocation'!$A:$F,6,0)</f>
        <v>#N/A</v>
      </c>
    </row>
    <row r="430" spans="1:10" ht="15" hidden="1" customHeight="1" x14ac:dyDescent="0.3">
      <c r="A430" s="644"/>
      <c r="B430" s="644"/>
      <c r="C430" s="645"/>
      <c r="D430" s="644"/>
      <c r="E430" s="305">
        <f>SUMIF(Adjustments!A:A,A430,Adjustments!C:C)</f>
        <v>0</v>
      </c>
      <c r="F430" s="280">
        <f t="shared" si="6"/>
        <v>0</v>
      </c>
      <c r="G430" s="263" t="e">
        <f>VLOOKUP('Trial Balance'!$A430,'Code Allocation'!$A:$D,3,0)</f>
        <v>#N/A</v>
      </c>
      <c r="H430" s="266" t="e">
        <f>VLOOKUP('Trial Balance'!$A430,'Code Allocation'!$A:$D,4,0)</f>
        <v>#N/A</v>
      </c>
      <c r="I430" s="267" t="e">
        <f>VLOOKUP('Trial Balance'!$A430,'Code Allocation'!$A:$E,5,0)</f>
        <v>#N/A</v>
      </c>
      <c r="J430" s="268" t="e">
        <f>VLOOKUP('Trial Balance'!$A430,'Code Allocation'!$A:$F,6,0)</f>
        <v>#N/A</v>
      </c>
    </row>
    <row r="431" spans="1:10" ht="15" hidden="1" customHeight="1" x14ac:dyDescent="0.25">
      <c r="A431" s="644"/>
      <c r="B431" s="644"/>
      <c r="C431" s="644"/>
      <c r="D431" s="644"/>
      <c r="E431" s="305">
        <f>SUMIF(Adjustments!A:A,A431,Adjustments!C:C)</f>
        <v>0</v>
      </c>
      <c r="F431" s="278">
        <f t="shared" si="6"/>
        <v>0</v>
      </c>
      <c r="G431" s="263" t="e">
        <f>VLOOKUP('Trial Balance'!$A431,'Code Allocation'!$A:$D,3,0)</f>
        <v>#N/A</v>
      </c>
      <c r="H431" s="266" t="e">
        <f>VLOOKUP('Trial Balance'!$A431,'Code Allocation'!$A:$D,4,0)</f>
        <v>#N/A</v>
      </c>
      <c r="I431" s="267" t="e">
        <f>VLOOKUP('Trial Balance'!$A431,'Code Allocation'!$A:$E,5,0)</f>
        <v>#N/A</v>
      </c>
      <c r="J431" s="268" t="e">
        <f>VLOOKUP('Trial Balance'!$A431,'Code Allocation'!$A:$F,6,0)</f>
        <v>#N/A</v>
      </c>
    </row>
    <row r="432" spans="1:10" ht="15" hidden="1" customHeight="1" x14ac:dyDescent="0.3">
      <c r="A432" s="644"/>
      <c r="B432" s="644"/>
      <c r="C432" s="644"/>
      <c r="D432" s="644"/>
      <c r="E432" s="305">
        <f>SUMIF(Adjustments!A:A,A432,Adjustments!C:C)</f>
        <v>0</v>
      </c>
      <c r="F432" s="280">
        <f t="shared" si="6"/>
        <v>0</v>
      </c>
      <c r="G432" s="263" t="e">
        <f>VLOOKUP('Trial Balance'!$A432,'Code Allocation'!$A:$D,3,0)</f>
        <v>#N/A</v>
      </c>
      <c r="H432" s="266" t="e">
        <f>VLOOKUP('Trial Balance'!$A432,'Code Allocation'!$A:$D,4,0)</f>
        <v>#N/A</v>
      </c>
      <c r="I432" s="267" t="e">
        <f>VLOOKUP('Trial Balance'!$A432,'Code Allocation'!$A:$E,5,0)</f>
        <v>#N/A</v>
      </c>
      <c r="J432" s="268" t="e">
        <f>VLOOKUP('Trial Balance'!$A432,'Code Allocation'!$A:$F,6,0)</f>
        <v>#N/A</v>
      </c>
    </row>
    <row r="433" spans="1:10" ht="15" hidden="1" customHeight="1" x14ac:dyDescent="0.25">
      <c r="A433" s="644"/>
      <c r="B433" s="644"/>
      <c r="C433" s="644"/>
      <c r="D433" s="644"/>
      <c r="E433" s="305">
        <f>SUMIF(Adjustments!A:A,A433,Adjustments!C:C)</f>
        <v>0</v>
      </c>
      <c r="F433" s="278">
        <f t="shared" si="6"/>
        <v>0</v>
      </c>
      <c r="G433" s="263" t="e">
        <f>VLOOKUP('Trial Balance'!$A433,'Code Allocation'!$A:$D,3,0)</f>
        <v>#N/A</v>
      </c>
      <c r="H433" s="266" t="e">
        <f>VLOOKUP('Trial Balance'!$A433,'Code Allocation'!$A:$D,4,0)</f>
        <v>#N/A</v>
      </c>
      <c r="I433" s="267" t="e">
        <f>VLOOKUP('Trial Balance'!$A433,'Code Allocation'!$A:$E,5,0)</f>
        <v>#N/A</v>
      </c>
      <c r="J433" s="268" t="e">
        <f>VLOOKUP('Trial Balance'!$A433,'Code Allocation'!$A:$F,6,0)</f>
        <v>#N/A</v>
      </c>
    </row>
    <row r="434" spans="1:10" ht="15" hidden="1" customHeight="1" x14ac:dyDescent="0.3">
      <c r="A434" s="644"/>
      <c r="B434" s="644"/>
      <c r="C434" s="645"/>
      <c r="D434" s="644"/>
      <c r="E434" s="305">
        <f>SUMIF(Adjustments!A:A,A434,Adjustments!C:C)</f>
        <v>0</v>
      </c>
      <c r="F434" s="280">
        <f t="shared" si="6"/>
        <v>0</v>
      </c>
      <c r="G434" s="263" t="e">
        <f>VLOOKUP('Trial Balance'!$A434,'Code Allocation'!$A:$D,3,0)</f>
        <v>#N/A</v>
      </c>
      <c r="H434" s="266" t="e">
        <f>VLOOKUP('Trial Balance'!$A434,'Code Allocation'!$A:$D,4,0)</f>
        <v>#N/A</v>
      </c>
      <c r="I434" s="267" t="e">
        <f>VLOOKUP('Trial Balance'!$A434,'Code Allocation'!$A:$E,5,0)</f>
        <v>#N/A</v>
      </c>
      <c r="J434" s="268" t="e">
        <f>VLOOKUP('Trial Balance'!$A434,'Code Allocation'!$A:$F,6,0)</f>
        <v>#N/A</v>
      </c>
    </row>
    <row r="435" spans="1:10" ht="15" hidden="1" customHeight="1" x14ac:dyDescent="0.3">
      <c r="A435" s="644"/>
      <c r="B435" s="644"/>
      <c r="C435" s="644"/>
      <c r="D435" s="644"/>
      <c r="E435" s="305">
        <f>SUMIF(Adjustments!A:A,A435,Adjustments!C:C)</f>
        <v>0</v>
      </c>
      <c r="F435" s="280">
        <f t="shared" si="6"/>
        <v>0</v>
      </c>
      <c r="G435" s="263" t="e">
        <f>VLOOKUP('Trial Balance'!$A435,'Code Allocation'!$A:$D,3,0)</f>
        <v>#N/A</v>
      </c>
      <c r="H435" s="266" t="e">
        <f>VLOOKUP('Trial Balance'!$A435,'Code Allocation'!$A:$D,4,0)</f>
        <v>#N/A</v>
      </c>
      <c r="I435" s="267" t="e">
        <f>VLOOKUP('Trial Balance'!$A435,'Code Allocation'!$A:$E,5,0)</f>
        <v>#N/A</v>
      </c>
      <c r="J435" s="268" t="e">
        <f>VLOOKUP('Trial Balance'!$A435,'Code Allocation'!$A:$F,6,0)</f>
        <v>#N/A</v>
      </c>
    </row>
    <row r="436" spans="1:10" ht="15" hidden="1" customHeight="1" x14ac:dyDescent="0.3">
      <c r="A436" s="644"/>
      <c r="B436" s="644"/>
      <c r="C436" s="644"/>
      <c r="D436" s="644"/>
      <c r="E436" s="305">
        <f>SUMIF(Adjustments!A:A,A436,Adjustments!C:C)</f>
        <v>0</v>
      </c>
      <c r="F436" s="280">
        <f t="shared" si="6"/>
        <v>0</v>
      </c>
      <c r="G436" s="263" t="e">
        <f>VLOOKUP('Trial Balance'!$A436,'Code Allocation'!$A:$D,3,0)</f>
        <v>#N/A</v>
      </c>
      <c r="H436" s="266" t="e">
        <f>VLOOKUP('Trial Balance'!$A436,'Code Allocation'!$A:$D,4,0)</f>
        <v>#N/A</v>
      </c>
      <c r="I436" s="267" t="e">
        <f>VLOOKUP('Trial Balance'!$A436,'Code Allocation'!$A:$E,5,0)</f>
        <v>#N/A</v>
      </c>
      <c r="J436" s="268" t="e">
        <f>VLOOKUP('Trial Balance'!$A436,'Code Allocation'!$A:$F,6,0)</f>
        <v>#N/A</v>
      </c>
    </row>
    <row r="437" spans="1:10" ht="15" hidden="1" customHeight="1" x14ac:dyDescent="0.3">
      <c r="A437" s="644"/>
      <c r="B437" s="644"/>
      <c r="C437" s="644"/>
      <c r="D437" s="644"/>
      <c r="E437" s="305">
        <f>SUMIF(Adjustments!A:A,A437,Adjustments!C:C)</f>
        <v>0</v>
      </c>
      <c r="F437" s="280">
        <f t="shared" si="6"/>
        <v>0</v>
      </c>
      <c r="G437" s="263" t="e">
        <f>VLOOKUP('Trial Balance'!$A437,'Code Allocation'!$A:$D,3,0)</f>
        <v>#N/A</v>
      </c>
      <c r="H437" s="266" t="e">
        <f>VLOOKUP('Trial Balance'!$A437,'Code Allocation'!$A:$D,4,0)</f>
        <v>#N/A</v>
      </c>
      <c r="I437" s="267" t="e">
        <f>VLOOKUP('Trial Balance'!$A437,'Code Allocation'!$A:$E,5,0)</f>
        <v>#N/A</v>
      </c>
      <c r="J437" s="268" t="e">
        <f>VLOOKUP('Trial Balance'!$A437,'Code Allocation'!$A:$F,6,0)</f>
        <v>#N/A</v>
      </c>
    </row>
    <row r="438" spans="1:10" ht="15" hidden="1" customHeight="1" x14ac:dyDescent="0.3">
      <c r="A438" s="644"/>
      <c r="B438" s="644"/>
      <c r="C438" s="644"/>
      <c r="D438" s="644"/>
      <c r="E438" s="305">
        <f>SUMIF(Adjustments!A:A,A438,Adjustments!C:C)</f>
        <v>0</v>
      </c>
      <c r="F438" s="280">
        <f t="shared" si="6"/>
        <v>0</v>
      </c>
      <c r="G438" s="263" t="e">
        <f>VLOOKUP('Trial Balance'!$A438,'Code Allocation'!$A:$D,3,0)</f>
        <v>#N/A</v>
      </c>
      <c r="H438" s="266" t="e">
        <f>VLOOKUP('Trial Balance'!$A438,'Code Allocation'!$A:$D,4,0)</f>
        <v>#N/A</v>
      </c>
      <c r="I438" s="267" t="e">
        <f>VLOOKUP('Trial Balance'!$A438,'Code Allocation'!$A:$E,5,0)</f>
        <v>#N/A</v>
      </c>
      <c r="J438" s="268" t="e">
        <f>VLOOKUP('Trial Balance'!$A438,'Code Allocation'!$A:$F,6,0)</f>
        <v>#N/A</v>
      </c>
    </row>
    <row r="439" spans="1:10" ht="15" hidden="1" customHeight="1" x14ac:dyDescent="0.25">
      <c r="A439" s="644"/>
      <c r="B439" s="644"/>
      <c r="C439" s="644"/>
      <c r="D439" s="644"/>
      <c r="E439" s="305">
        <f>SUMIF(Adjustments!A:A,A439,Adjustments!C:C)</f>
        <v>0</v>
      </c>
      <c r="F439" s="278">
        <f t="shared" si="6"/>
        <v>0</v>
      </c>
      <c r="G439" s="263" t="e">
        <f>VLOOKUP('Trial Balance'!$A439,'Code Allocation'!$A:$D,3,0)</f>
        <v>#N/A</v>
      </c>
      <c r="H439" s="266" t="e">
        <f>VLOOKUP('Trial Balance'!$A439,'Code Allocation'!$A:$D,4,0)</f>
        <v>#N/A</v>
      </c>
      <c r="I439" s="267" t="e">
        <f>VLOOKUP('Trial Balance'!$A439,'Code Allocation'!$A:$E,5,0)</f>
        <v>#N/A</v>
      </c>
      <c r="J439" s="268" t="e">
        <f>VLOOKUP('Trial Balance'!$A439,'Code Allocation'!$A:$F,6,0)</f>
        <v>#N/A</v>
      </c>
    </row>
    <row r="440" spans="1:10" ht="15" hidden="1" customHeight="1" x14ac:dyDescent="0.3">
      <c r="A440" s="644"/>
      <c r="B440" s="644"/>
      <c r="C440" s="644"/>
      <c r="D440" s="644"/>
      <c r="E440" s="305">
        <f>SUMIF(Adjustments!A:A,A440,Adjustments!C:C)</f>
        <v>0</v>
      </c>
      <c r="F440" s="280">
        <f t="shared" si="6"/>
        <v>0</v>
      </c>
      <c r="G440" s="263" t="e">
        <f>VLOOKUP('Trial Balance'!$A440,'Code Allocation'!$A:$D,3,0)</f>
        <v>#N/A</v>
      </c>
      <c r="H440" s="266" t="e">
        <f>VLOOKUP('Trial Balance'!$A440,'Code Allocation'!$A:$D,4,0)</f>
        <v>#N/A</v>
      </c>
      <c r="I440" s="267" t="e">
        <f>VLOOKUP('Trial Balance'!$A440,'Code Allocation'!$A:$E,5,0)</f>
        <v>#N/A</v>
      </c>
      <c r="J440" s="268" t="e">
        <f>VLOOKUP('Trial Balance'!$A440,'Code Allocation'!$A:$F,6,0)</f>
        <v>#N/A</v>
      </c>
    </row>
    <row r="441" spans="1:10" ht="15" hidden="1" customHeight="1" x14ac:dyDescent="0.3">
      <c r="A441" s="644"/>
      <c r="B441" s="644"/>
      <c r="C441" s="644"/>
      <c r="D441" s="644"/>
      <c r="E441" s="305">
        <f>SUMIF(Adjustments!A:A,A441,Adjustments!C:C)</f>
        <v>0</v>
      </c>
      <c r="F441" s="280">
        <f t="shared" si="6"/>
        <v>0</v>
      </c>
      <c r="G441" s="263" t="e">
        <f>VLOOKUP('Trial Balance'!$A441,'Code Allocation'!$A:$D,3,0)</f>
        <v>#N/A</v>
      </c>
      <c r="H441" s="266" t="e">
        <f>VLOOKUP('Trial Balance'!$A441,'Code Allocation'!$A:$D,4,0)</f>
        <v>#N/A</v>
      </c>
      <c r="I441" s="267" t="e">
        <f>VLOOKUP('Trial Balance'!$A441,'Code Allocation'!$A:$E,5,0)</f>
        <v>#N/A</v>
      </c>
      <c r="J441" s="268" t="e">
        <f>VLOOKUP('Trial Balance'!$A441,'Code Allocation'!$A:$F,6,0)</f>
        <v>#N/A</v>
      </c>
    </row>
    <row r="442" spans="1:10" ht="15" hidden="1" customHeight="1" x14ac:dyDescent="0.25">
      <c r="A442" s="644"/>
      <c r="B442" s="644"/>
      <c r="C442" s="644"/>
      <c r="D442" s="644"/>
      <c r="E442" s="305">
        <f>SUMIF(Adjustments!A:A,A442,Adjustments!C:C)</f>
        <v>0</v>
      </c>
      <c r="F442" s="278">
        <f t="shared" si="6"/>
        <v>0</v>
      </c>
      <c r="G442" s="263" t="e">
        <f>VLOOKUP('Trial Balance'!$A442,'Code Allocation'!$A:$D,3,0)</f>
        <v>#N/A</v>
      </c>
      <c r="H442" s="266" t="e">
        <f>VLOOKUP('Trial Balance'!$A442,'Code Allocation'!$A:$D,4,0)</f>
        <v>#N/A</v>
      </c>
      <c r="I442" s="267" t="e">
        <f>VLOOKUP('Trial Balance'!$A442,'Code Allocation'!$A:$E,5,0)</f>
        <v>#N/A</v>
      </c>
      <c r="J442" s="268" t="e">
        <f>VLOOKUP('Trial Balance'!$A442,'Code Allocation'!$A:$F,6,0)</f>
        <v>#N/A</v>
      </c>
    </row>
    <row r="443" spans="1:10" ht="15" hidden="1" customHeight="1" x14ac:dyDescent="0.3">
      <c r="A443" s="644"/>
      <c r="B443" s="644"/>
      <c r="C443" s="644"/>
      <c r="D443" s="644"/>
      <c r="E443" s="305">
        <f>SUMIF(Adjustments!A:A,A443,Adjustments!C:C)</f>
        <v>0</v>
      </c>
      <c r="F443" s="280">
        <f t="shared" si="6"/>
        <v>0</v>
      </c>
      <c r="G443" s="263" t="e">
        <f>VLOOKUP('Trial Balance'!$A443,'Code Allocation'!$A:$D,3,0)</f>
        <v>#N/A</v>
      </c>
      <c r="H443" s="266" t="e">
        <f>VLOOKUP('Trial Balance'!$A443,'Code Allocation'!$A:$D,4,0)</f>
        <v>#N/A</v>
      </c>
      <c r="I443" s="267" t="e">
        <f>VLOOKUP('Trial Balance'!$A443,'Code Allocation'!$A:$E,5,0)</f>
        <v>#N/A</v>
      </c>
      <c r="J443" s="268" t="e">
        <f>VLOOKUP('Trial Balance'!$A443,'Code Allocation'!$A:$F,6,0)</f>
        <v>#N/A</v>
      </c>
    </row>
    <row r="444" spans="1:10" ht="15" hidden="1" customHeight="1" x14ac:dyDescent="0.3">
      <c r="A444" s="644"/>
      <c r="B444" s="644"/>
      <c r="C444" s="644"/>
      <c r="D444" s="644"/>
      <c r="E444" s="305">
        <f>SUMIF(Adjustments!A:A,A444,Adjustments!C:C)</f>
        <v>0</v>
      </c>
      <c r="F444" s="280">
        <f t="shared" si="6"/>
        <v>0</v>
      </c>
      <c r="G444" s="263" t="e">
        <f>VLOOKUP('Trial Balance'!$A444,'Code Allocation'!$A:$D,3,0)</f>
        <v>#N/A</v>
      </c>
      <c r="H444" s="266" t="e">
        <f>VLOOKUP('Trial Balance'!$A444,'Code Allocation'!$A:$D,4,0)</f>
        <v>#N/A</v>
      </c>
      <c r="I444" s="267" t="e">
        <f>VLOOKUP('Trial Balance'!$A444,'Code Allocation'!$A:$E,5,0)</f>
        <v>#N/A</v>
      </c>
      <c r="J444" s="268" t="e">
        <f>VLOOKUP('Trial Balance'!$A444,'Code Allocation'!$A:$F,6,0)</f>
        <v>#N/A</v>
      </c>
    </row>
    <row r="445" spans="1:10" ht="15" hidden="1" customHeight="1" x14ac:dyDescent="0.3">
      <c r="A445" s="644"/>
      <c r="B445" s="644"/>
      <c r="C445" s="644"/>
      <c r="D445" s="644"/>
      <c r="E445" s="305">
        <f>SUMIF(Adjustments!A:A,A445,Adjustments!C:C)</f>
        <v>0</v>
      </c>
      <c r="F445" s="280">
        <f t="shared" si="6"/>
        <v>0</v>
      </c>
      <c r="G445" s="263" t="e">
        <f>VLOOKUP('Trial Balance'!$A445,'Code Allocation'!$A:$D,3,0)</f>
        <v>#N/A</v>
      </c>
      <c r="H445" s="266" t="e">
        <f>VLOOKUP('Trial Balance'!$A445,'Code Allocation'!$A:$D,4,0)</f>
        <v>#N/A</v>
      </c>
      <c r="I445" s="267" t="e">
        <f>VLOOKUP('Trial Balance'!$A445,'Code Allocation'!$A:$E,5,0)</f>
        <v>#N/A</v>
      </c>
      <c r="J445" s="268" t="e">
        <f>VLOOKUP('Trial Balance'!$A445,'Code Allocation'!$A:$F,6,0)</f>
        <v>#N/A</v>
      </c>
    </row>
    <row r="446" spans="1:10" ht="15" hidden="1" customHeight="1" x14ac:dyDescent="0.3">
      <c r="A446" s="644"/>
      <c r="B446" s="644"/>
      <c r="C446" s="644"/>
      <c r="D446" s="644"/>
      <c r="E446" s="305">
        <f>SUMIF(Adjustments!A:A,A446,Adjustments!C:C)</f>
        <v>0</v>
      </c>
      <c r="F446" s="280">
        <f t="shared" si="6"/>
        <v>0</v>
      </c>
      <c r="G446" s="263" t="e">
        <f>VLOOKUP('Trial Balance'!$A446,'Code Allocation'!$A:$D,3,0)</f>
        <v>#N/A</v>
      </c>
      <c r="H446" s="266" t="e">
        <f>VLOOKUP('Trial Balance'!$A446,'Code Allocation'!$A:$D,4,0)</f>
        <v>#N/A</v>
      </c>
      <c r="I446" s="267" t="e">
        <f>VLOOKUP('Trial Balance'!$A446,'Code Allocation'!$A:$E,5,0)</f>
        <v>#N/A</v>
      </c>
      <c r="J446" s="268" t="e">
        <f>VLOOKUP('Trial Balance'!$A446,'Code Allocation'!$A:$F,6,0)</f>
        <v>#N/A</v>
      </c>
    </row>
    <row r="447" spans="1:10" ht="15" hidden="1" customHeight="1" x14ac:dyDescent="0.3">
      <c r="A447" s="644"/>
      <c r="B447" s="644"/>
      <c r="C447" s="644"/>
      <c r="D447" s="644"/>
      <c r="E447" s="305">
        <f>SUMIF(Adjustments!A:A,A447,Adjustments!C:C)</f>
        <v>0</v>
      </c>
      <c r="F447" s="280">
        <f t="shared" si="6"/>
        <v>0</v>
      </c>
      <c r="G447" s="263" t="e">
        <f>VLOOKUP('Trial Balance'!$A447,'Code Allocation'!$A:$D,3,0)</f>
        <v>#N/A</v>
      </c>
      <c r="H447" s="266" t="e">
        <f>VLOOKUP('Trial Balance'!$A447,'Code Allocation'!$A:$D,4,0)</f>
        <v>#N/A</v>
      </c>
      <c r="I447" s="267" t="e">
        <f>VLOOKUP('Trial Balance'!$A447,'Code Allocation'!$A:$E,5,0)</f>
        <v>#N/A</v>
      </c>
      <c r="J447" s="268" t="e">
        <f>VLOOKUP('Trial Balance'!$A447,'Code Allocation'!$A:$F,6,0)</f>
        <v>#N/A</v>
      </c>
    </row>
    <row r="448" spans="1:10" ht="15" hidden="1" customHeight="1" x14ac:dyDescent="0.25">
      <c r="A448" s="644"/>
      <c r="B448" s="644"/>
      <c r="C448" s="644"/>
      <c r="D448" s="644"/>
      <c r="E448" s="305">
        <f>SUMIF(Adjustments!A:A,A448,Adjustments!C:C)</f>
        <v>0</v>
      </c>
      <c r="F448" s="278">
        <f t="shared" si="6"/>
        <v>0</v>
      </c>
      <c r="G448" s="263" t="e">
        <f>VLOOKUP('Trial Balance'!$A448,'Code Allocation'!$A:$D,3,0)</f>
        <v>#N/A</v>
      </c>
      <c r="H448" s="266" t="e">
        <f>VLOOKUP('Trial Balance'!$A448,'Code Allocation'!$A:$D,4,0)</f>
        <v>#N/A</v>
      </c>
      <c r="I448" s="267" t="e">
        <f>VLOOKUP('Trial Balance'!$A448,'Code Allocation'!$A:$E,5,0)</f>
        <v>#N/A</v>
      </c>
      <c r="J448" s="268" t="e">
        <f>VLOOKUP('Trial Balance'!$A448,'Code Allocation'!$A:$F,6,0)</f>
        <v>#N/A</v>
      </c>
    </row>
    <row r="449" spans="1:10" ht="15" hidden="1" customHeight="1" x14ac:dyDescent="0.25">
      <c r="A449" s="644"/>
      <c r="B449" s="644"/>
      <c r="C449" s="644"/>
      <c r="D449" s="644"/>
      <c r="E449" s="305">
        <f>SUMIF(Adjustments!A:A,A449,Adjustments!C:C)</f>
        <v>0</v>
      </c>
      <c r="F449" s="278">
        <f t="shared" si="6"/>
        <v>0</v>
      </c>
      <c r="G449" s="263" t="e">
        <f>VLOOKUP('Trial Balance'!$A449,'Code Allocation'!$A:$D,3,0)</f>
        <v>#N/A</v>
      </c>
      <c r="H449" s="266" t="e">
        <f>VLOOKUP('Trial Balance'!$A449,'Code Allocation'!$A:$D,4,0)</f>
        <v>#N/A</v>
      </c>
      <c r="I449" s="267" t="e">
        <f>VLOOKUP('Trial Balance'!$A449,'Code Allocation'!$A:$E,5,0)</f>
        <v>#N/A</v>
      </c>
      <c r="J449" s="268" t="e">
        <f>VLOOKUP('Trial Balance'!$A449,'Code Allocation'!$A:$F,6,0)</f>
        <v>#N/A</v>
      </c>
    </row>
    <row r="450" spans="1:10" ht="15" hidden="1" customHeight="1" x14ac:dyDescent="0.3">
      <c r="A450" s="644"/>
      <c r="B450" s="644"/>
      <c r="C450" s="645"/>
      <c r="D450" s="644"/>
      <c r="E450" s="305">
        <f>SUMIF(Adjustments!A:A,A450,Adjustments!C:C)</f>
        <v>0</v>
      </c>
      <c r="F450" s="280">
        <f t="shared" si="6"/>
        <v>0</v>
      </c>
      <c r="G450" s="263" t="e">
        <f>VLOOKUP('Trial Balance'!$A450,'Code Allocation'!$A:$D,3,0)</f>
        <v>#N/A</v>
      </c>
      <c r="H450" s="266" t="e">
        <f>VLOOKUP('Trial Balance'!$A450,'Code Allocation'!$A:$D,4,0)</f>
        <v>#N/A</v>
      </c>
      <c r="I450" s="267" t="e">
        <f>VLOOKUP('Trial Balance'!$A450,'Code Allocation'!$A:$E,5,0)</f>
        <v>#N/A</v>
      </c>
      <c r="J450" s="268" t="e">
        <f>VLOOKUP('Trial Balance'!$A450,'Code Allocation'!$A:$F,6,0)</f>
        <v>#N/A</v>
      </c>
    </row>
    <row r="451" spans="1:10" ht="15" hidden="1" customHeight="1" x14ac:dyDescent="0.3">
      <c r="A451" s="644"/>
      <c r="B451" s="644"/>
      <c r="C451" s="644"/>
      <c r="D451" s="644"/>
      <c r="E451" s="305">
        <f>SUMIF(Adjustments!A:A,A451,Adjustments!C:C)</f>
        <v>0</v>
      </c>
      <c r="F451" s="280">
        <f t="shared" si="6"/>
        <v>0</v>
      </c>
      <c r="G451" s="263" t="e">
        <f>VLOOKUP('Trial Balance'!$A451,'Code Allocation'!$A:$D,3,0)</f>
        <v>#N/A</v>
      </c>
      <c r="H451" s="266" t="e">
        <f>VLOOKUP('Trial Balance'!$A451,'Code Allocation'!$A:$D,4,0)</f>
        <v>#N/A</v>
      </c>
      <c r="I451" s="267" t="e">
        <f>VLOOKUP('Trial Balance'!$A451,'Code Allocation'!$A:$E,5,0)</f>
        <v>#N/A</v>
      </c>
      <c r="J451" s="268" t="e">
        <f>VLOOKUP('Trial Balance'!$A451,'Code Allocation'!$A:$F,6,0)</f>
        <v>#N/A</v>
      </c>
    </row>
    <row r="452" spans="1:10" ht="15" hidden="1" customHeight="1" x14ac:dyDescent="0.3">
      <c r="A452" s="644"/>
      <c r="B452" s="644"/>
      <c r="C452" s="645"/>
      <c r="D452" s="644"/>
      <c r="E452" s="305">
        <f>SUMIF(Adjustments!A:A,A452,Adjustments!C:C)</f>
        <v>0</v>
      </c>
      <c r="F452" s="280">
        <f t="shared" si="6"/>
        <v>0</v>
      </c>
      <c r="G452" s="263" t="e">
        <f>VLOOKUP('Trial Balance'!$A452,'Code Allocation'!$A:$D,3,0)</f>
        <v>#N/A</v>
      </c>
      <c r="H452" s="266" t="e">
        <f>VLOOKUP('Trial Balance'!$A452,'Code Allocation'!$A:$D,4,0)</f>
        <v>#N/A</v>
      </c>
      <c r="I452" s="267" t="e">
        <f>VLOOKUP('Trial Balance'!$A452,'Code Allocation'!$A:$E,5,0)</f>
        <v>#N/A</v>
      </c>
      <c r="J452" s="268" t="e">
        <f>VLOOKUP('Trial Balance'!$A452,'Code Allocation'!$A:$F,6,0)</f>
        <v>#N/A</v>
      </c>
    </row>
    <row r="453" spans="1:10" ht="15" hidden="1" customHeight="1" x14ac:dyDescent="0.3">
      <c r="A453" s="644"/>
      <c r="B453" s="644"/>
      <c r="C453" s="645"/>
      <c r="D453" s="644"/>
      <c r="E453" s="305">
        <f>SUMIF(Adjustments!A:A,A453,Adjustments!C:C)</f>
        <v>0</v>
      </c>
      <c r="F453" s="280">
        <f t="shared" si="6"/>
        <v>0</v>
      </c>
      <c r="G453" s="263" t="e">
        <f>VLOOKUP('Trial Balance'!$A453,'Code Allocation'!$A:$D,3,0)</f>
        <v>#N/A</v>
      </c>
      <c r="H453" s="266" t="e">
        <f>VLOOKUP('Trial Balance'!$A453,'Code Allocation'!$A:$D,4,0)</f>
        <v>#N/A</v>
      </c>
      <c r="I453" s="267" t="e">
        <f>VLOOKUP('Trial Balance'!$A453,'Code Allocation'!$A:$E,5,0)</f>
        <v>#N/A</v>
      </c>
      <c r="J453" s="268" t="e">
        <f>VLOOKUP('Trial Balance'!$A453,'Code Allocation'!$A:$F,6,0)</f>
        <v>#N/A</v>
      </c>
    </row>
    <row r="454" spans="1:10" ht="15" hidden="1" customHeight="1" x14ac:dyDescent="0.3">
      <c r="A454" s="644"/>
      <c r="B454" s="644"/>
      <c r="C454" s="645"/>
      <c r="D454" s="644"/>
      <c r="E454" s="305">
        <f>SUMIF(Adjustments!A:A,A454,Adjustments!C:C)</f>
        <v>0</v>
      </c>
      <c r="F454" s="280">
        <f t="shared" si="6"/>
        <v>0</v>
      </c>
      <c r="G454" s="263" t="e">
        <f>VLOOKUP('Trial Balance'!$A454,'Code Allocation'!$A:$D,3,0)</f>
        <v>#N/A</v>
      </c>
      <c r="H454" s="266" t="e">
        <f>VLOOKUP('Trial Balance'!$A454,'Code Allocation'!$A:$D,4,0)</f>
        <v>#N/A</v>
      </c>
      <c r="I454" s="267" t="e">
        <f>VLOOKUP('Trial Balance'!$A454,'Code Allocation'!$A:$E,5,0)</f>
        <v>#N/A</v>
      </c>
      <c r="J454" s="268" t="e">
        <f>VLOOKUP('Trial Balance'!$A454,'Code Allocation'!$A:$F,6,0)</f>
        <v>#N/A</v>
      </c>
    </row>
    <row r="455" spans="1:10" ht="15" hidden="1" customHeight="1" x14ac:dyDescent="0.3">
      <c r="A455" s="644"/>
      <c r="B455" s="644"/>
      <c r="C455" s="645"/>
      <c r="D455" s="644"/>
      <c r="E455" s="305">
        <f>SUMIF(Adjustments!A:A,A455,Adjustments!C:C)</f>
        <v>0</v>
      </c>
      <c r="F455" s="280">
        <f t="shared" si="6"/>
        <v>0</v>
      </c>
      <c r="G455" s="263" t="e">
        <f>VLOOKUP('Trial Balance'!$A455,'Code Allocation'!$A:$D,3,0)</f>
        <v>#N/A</v>
      </c>
      <c r="H455" s="266" t="e">
        <f>VLOOKUP('Trial Balance'!$A455,'Code Allocation'!$A:$D,4,0)</f>
        <v>#N/A</v>
      </c>
      <c r="I455" s="267" t="e">
        <f>VLOOKUP('Trial Balance'!$A455,'Code Allocation'!$A:$E,5,0)</f>
        <v>#N/A</v>
      </c>
      <c r="J455" s="268" t="e">
        <f>VLOOKUP('Trial Balance'!$A455,'Code Allocation'!$A:$F,6,0)</f>
        <v>#N/A</v>
      </c>
    </row>
    <row r="456" spans="1:10" ht="15" hidden="1" customHeight="1" x14ac:dyDescent="0.3">
      <c r="A456" s="644"/>
      <c r="B456" s="644"/>
      <c r="C456" s="644"/>
      <c r="D456" s="644"/>
      <c r="E456" s="305">
        <f>SUMIF(Adjustments!A:A,A456,Adjustments!C:C)</f>
        <v>0</v>
      </c>
      <c r="F456" s="280">
        <f t="shared" si="6"/>
        <v>0</v>
      </c>
      <c r="G456" s="263" t="e">
        <f>VLOOKUP('Trial Balance'!$A456,'Code Allocation'!$A:$D,3,0)</f>
        <v>#N/A</v>
      </c>
      <c r="H456" s="266" t="e">
        <f>VLOOKUP('Trial Balance'!$A456,'Code Allocation'!$A:$D,4,0)</f>
        <v>#N/A</v>
      </c>
      <c r="I456" s="267" t="e">
        <f>VLOOKUP('Trial Balance'!$A456,'Code Allocation'!$A:$E,5,0)</f>
        <v>#N/A</v>
      </c>
      <c r="J456" s="268" t="e">
        <f>VLOOKUP('Trial Balance'!$A456,'Code Allocation'!$A:$F,6,0)</f>
        <v>#N/A</v>
      </c>
    </row>
    <row r="457" spans="1:10" ht="15" hidden="1" customHeight="1" x14ac:dyDescent="0.3">
      <c r="A457" s="644"/>
      <c r="B457" s="644"/>
      <c r="C457" s="645"/>
      <c r="D457" s="644"/>
      <c r="E457" s="305">
        <f>SUMIF(Adjustments!A:A,A457,Adjustments!C:C)</f>
        <v>0</v>
      </c>
      <c r="F457" s="280">
        <f t="shared" si="6"/>
        <v>0</v>
      </c>
      <c r="G457" s="263" t="e">
        <v>#N/A</v>
      </c>
      <c r="H457" s="266" t="e">
        <f>VLOOKUP('Trial Balance'!$A457,'Code Allocation'!$A:$D,4,0)</f>
        <v>#N/A</v>
      </c>
      <c r="I457" s="267" t="e">
        <f>VLOOKUP('Trial Balance'!$A457,'Code Allocation'!$A:$E,5,0)</f>
        <v>#N/A</v>
      </c>
      <c r="J457" s="268" t="e">
        <f>VLOOKUP('Trial Balance'!$A457,'Code Allocation'!$A:$F,6,0)</f>
        <v>#N/A</v>
      </c>
    </row>
    <row r="458" spans="1:10" ht="15" hidden="1" customHeight="1" x14ac:dyDescent="0.3">
      <c r="A458" s="644"/>
      <c r="B458" s="644"/>
      <c r="C458" s="645"/>
      <c r="D458" s="644"/>
      <c r="E458" s="305">
        <f>SUMIF(Adjustments!A:A,A458,Adjustments!C:C)</f>
        <v>0</v>
      </c>
      <c r="F458" s="280">
        <f t="shared" si="6"/>
        <v>0</v>
      </c>
      <c r="G458" s="263" t="e">
        <v>#N/A</v>
      </c>
      <c r="H458" s="266" t="e">
        <f>VLOOKUP('Trial Balance'!$A458,'Code Allocation'!$A:$D,4,0)</f>
        <v>#N/A</v>
      </c>
      <c r="I458" s="267" t="e">
        <f>VLOOKUP('Trial Balance'!$A458,'Code Allocation'!$A:$E,5,0)</f>
        <v>#N/A</v>
      </c>
      <c r="J458" s="268" t="e">
        <f>VLOOKUP('Trial Balance'!$A458,'Code Allocation'!$A:$F,6,0)</f>
        <v>#N/A</v>
      </c>
    </row>
    <row r="459" spans="1:10" ht="15" hidden="1" customHeight="1" x14ac:dyDescent="0.3">
      <c r="A459" s="644"/>
      <c r="B459" s="644"/>
      <c r="C459" s="644"/>
      <c r="D459" s="644"/>
      <c r="E459" s="305">
        <f>SUMIF(Adjustments!A:A,A459,Adjustments!C:C)</f>
        <v>0</v>
      </c>
      <c r="F459" s="280">
        <f t="shared" si="6"/>
        <v>0</v>
      </c>
      <c r="G459" s="263" t="e">
        <v>#N/A</v>
      </c>
      <c r="H459" s="266" t="e">
        <f>VLOOKUP('Trial Balance'!$A459,'Code Allocation'!$A:$D,4,0)</f>
        <v>#N/A</v>
      </c>
      <c r="I459" s="267" t="e">
        <f>VLOOKUP('Trial Balance'!$A459,'Code Allocation'!$A:$E,5,0)</f>
        <v>#N/A</v>
      </c>
      <c r="J459" s="268" t="e">
        <f>VLOOKUP('Trial Balance'!$A459,'Code Allocation'!$A:$F,6,0)</f>
        <v>#N/A</v>
      </c>
    </row>
    <row r="460" spans="1:10" ht="15" hidden="1" customHeight="1" x14ac:dyDescent="0.3">
      <c r="A460" s="644"/>
      <c r="B460" s="644"/>
      <c r="C460" s="644"/>
      <c r="D460" s="644"/>
      <c r="E460" s="305">
        <f>SUMIF(Adjustments!A:A,A460,Adjustments!C:C)</f>
        <v>0</v>
      </c>
      <c r="F460" s="280">
        <f t="shared" si="6"/>
        <v>0</v>
      </c>
      <c r="G460" s="263" t="e">
        <v>#N/A</v>
      </c>
      <c r="H460" s="266" t="e">
        <f>VLOOKUP('Trial Balance'!$A460,'Code Allocation'!$A:$D,4,0)</f>
        <v>#N/A</v>
      </c>
      <c r="I460" s="267" t="e">
        <f>VLOOKUP('Trial Balance'!$A460,'Code Allocation'!$A:$E,5,0)</f>
        <v>#N/A</v>
      </c>
      <c r="J460" s="268" t="e">
        <f>VLOOKUP('Trial Balance'!$A460,'Code Allocation'!$A:$F,6,0)</f>
        <v>#N/A</v>
      </c>
    </row>
    <row r="461" spans="1:10" ht="15" hidden="1" customHeight="1" x14ac:dyDescent="0.3">
      <c r="A461" s="644"/>
      <c r="B461" s="644"/>
      <c r="C461" s="644"/>
      <c r="D461" s="644"/>
      <c r="E461" s="305">
        <f>SUMIF(Adjustments!A:A,A461,Adjustments!C:C)</f>
        <v>0</v>
      </c>
      <c r="F461" s="280">
        <f t="shared" si="6"/>
        <v>0</v>
      </c>
      <c r="G461" s="263" t="e">
        <v>#N/A</v>
      </c>
      <c r="H461" s="266" t="e">
        <f>VLOOKUP('Trial Balance'!$A461,'Code Allocation'!$A:$D,4,0)</f>
        <v>#N/A</v>
      </c>
      <c r="I461" s="267" t="e">
        <f>VLOOKUP('Trial Balance'!$A461,'Code Allocation'!$A:$E,5,0)</f>
        <v>#N/A</v>
      </c>
      <c r="J461" s="268" t="e">
        <f>VLOOKUP('Trial Balance'!$A461,'Code Allocation'!$A:$F,6,0)</f>
        <v>#N/A</v>
      </c>
    </row>
    <row r="462" spans="1:10" ht="15" hidden="1" customHeight="1" x14ac:dyDescent="0.3">
      <c r="A462" s="644"/>
      <c r="B462" s="644"/>
      <c r="C462" s="644"/>
      <c r="D462" s="644"/>
      <c r="E462" s="305">
        <f>SUMIF(Adjustments!A:A,A462,Adjustments!C:C)</f>
        <v>0</v>
      </c>
      <c r="F462" s="280">
        <f t="shared" si="6"/>
        <v>0</v>
      </c>
      <c r="G462" s="263" t="e">
        <v>#N/A</v>
      </c>
      <c r="H462" s="266" t="e">
        <f>VLOOKUP('Trial Balance'!$A462,'Code Allocation'!$A:$D,4,0)</f>
        <v>#N/A</v>
      </c>
      <c r="I462" s="267" t="e">
        <f>VLOOKUP('Trial Balance'!$A462,'Code Allocation'!$A:$E,5,0)</f>
        <v>#N/A</v>
      </c>
      <c r="J462" s="268" t="e">
        <f>VLOOKUP('Trial Balance'!$A462,'Code Allocation'!$A:$F,6,0)</f>
        <v>#N/A</v>
      </c>
    </row>
    <row r="463" spans="1:10" ht="15" hidden="1" customHeight="1" x14ac:dyDescent="0.3">
      <c r="A463" s="644"/>
      <c r="B463" s="644"/>
      <c r="C463" s="644"/>
      <c r="D463" s="644"/>
      <c r="E463" s="305">
        <f>SUMIF(Adjustments!A:A,A463,Adjustments!C:C)</f>
        <v>0</v>
      </c>
      <c r="F463" s="280">
        <f t="shared" si="6"/>
        <v>0</v>
      </c>
      <c r="G463" s="263" t="e">
        <v>#N/A</v>
      </c>
      <c r="H463" s="266" t="e">
        <f>VLOOKUP('Trial Balance'!$A463,'Code Allocation'!$A:$D,4,0)</f>
        <v>#N/A</v>
      </c>
      <c r="I463" s="267" t="e">
        <f>VLOOKUP('Trial Balance'!$A463,'Code Allocation'!$A:$E,5,0)</f>
        <v>#N/A</v>
      </c>
      <c r="J463" s="268" t="e">
        <f>VLOOKUP('Trial Balance'!$A463,'Code Allocation'!$A:$F,6,0)</f>
        <v>#N/A</v>
      </c>
    </row>
    <row r="464" spans="1:10" ht="15" hidden="1" customHeight="1" x14ac:dyDescent="0.3">
      <c r="A464" s="644"/>
      <c r="B464" s="644"/>
      <c r="C464" s="645"/>
      <c r="D464" s="644"/>
      <c r="E464" s="305">
        <f>SUMIF(Adjustments!A:A,A464,Adjustments!C:C)</f>
        <v>0</v>
      </c>
      <c r="F464" s="280">
        <f t="shared" si="6"/>
        <v>0</v>
      </c>
      <c r="G464" s="263" t="e">
        <v>#N/A</v>
      </c>
      <c r="H464" s="266" t="e">
        <f>VLOOKUP('Trial Balance'!$A464,'Code Allocation'!$A:$D,4,0)</f>
        <v>#N/A</v>
      </c>
      <c r="I464" s="267" t="e">
        <f>VLOOKUP('Trial Balance'!$A464,'Code Allocation'!$A:$E,5,0)</f>
        <v>#N/A</v>
      </c>
      <c r="J464" s="268" t="e">
        <f>VLOOKUP('Trial Balance'!$A464,'Code Allocation'!$A:$F,6,0)</f>
        <v>#N/A</v>
      </c>
    </row>
    <row r="465" spans="1:10" ht="15" hidden="1" customHeight="1" x14ac:dyDescent="0.3">
      <c r="A465" s="644"/>
      <c r="B465" s="644"/>
      <c r="C465" s="644"/>
      <c r="D465" s="644"/>
      <c r="E465" s="305">
        <f>SUMIF(Adjustments!A:A,A465,Adjustments!C:C)</f>
        <v>0</v>
      </c>
      <c r="F465" s="280">
        <f t="shared" si="6"/>
        <v>0</v>
      </c>
      <c r="G465" s="263" t="e">
        <v>#N/A</v>
      </c>
      <c r="H465" s="266" t="e">
        <f>VLOOKUP('Trial Balance'!$A465,'Code Allocation'!$A:$D,4,0)</f>
        <v>#N/A</v>
      </c>
      <c r="I465" s="267" t="e">
        <f>VLOOKUP('Trial Balance'!$A465,'Code Allocation'!$A:$E,5,0)</f>
        <v>#N/A</v>
      </c>
      <c r="J465" s="268" t="e">
        <f>VLOOKUP('Trial Balance'!$A465,'Code Allocation'!$A:$F,6,0)</f>
        <v>#N/A</v>
      </c>
    </row>
    <row r="466" spans="1:10" ht="15" hidden="1" customHeight="1" x14ac:dyDescent="0.3">
      <c r="A466" s="644"/>
      <c r="B466" s="644"/>
      <c r="C466" s="644"/>
      <c r="D466" s="644"/>
      <c r="E466" s="305">
        <f>SUMIF(Adjustments!A:A,A466,Adjustments!C:C)</f>
        <v>0</v>
      </c>
      <c r="F466" s="280">
        <f t="shared" si="6"/>
        <v>0</v>
      </c>
      <c r="G466" s="263" t="e">
        <v>#N/A</v>
      </c>
      <c r="H466" s="266" t="e">
        <f>VLOOKUP('Trial Balance'!$A466,'Code Allocation'!$A:$D,4,0)</f>
        <v>#N/A</v>
      </c>
      <c r="I466" s="267" t="e">
        <f>VLOOKUP('Trial Balance'!$A466,'Code Allocation'!$A:$E,5,0)</f>
        <v>#N/A</v>
      </c>
      <c r="J466" s="268" t="e">
        <f>VLOOKUP('Trial Balance'!$A466,'Code Allocation'!$A:$F,6,0)</f>
        <v>#N/A</v>
      </c>
    </row>
    <row r="467" spans="1:10" ht="15" hidden="1" customHeight="1" x14ac:dyDescent="0.3">
      <c r="A467" s="644"/>
      <c r="B467" s="644"/>
      <c r="C467" s="644"/>
      <c r="D467" s="644"/>
      <c r="E467" s="305">
        <f>SUMIF(Adjustments!A:A,A467,Adjustments!C:C)</f>
        <v>0</v>
      </c>
      <c r="F467" s="280">
        <f t="shared" si="6"/>
        <v>0</v>
      </c>
      <c r="G467" s="263" t="e">
        <v>#N/A</v>
      </c>
      <c r="H467" s="266" t="e">
        <f>VLOOKUP('Trial Balance'!$A467,'Code Allocation'!$A:$D,4,0)</f>
        <v>#N/A</v>
      </c>
      <c r="I467" s="267" t="e">
        <f>VLOOKUP('Trial Balance'!$A467,'Code Allocation'!$A:$E,5,0)</f>
        <v>#N/A</v>
      </c>
      <c r="J467" s="268" t="e">
        <f>VLOOKUP('Trial Balance'!$A467,'Code Allocation'!$A:$F,6,0)</f>
        <v>#N/A</v>
      </c>
    </row>
    <row r="468" spans="1:10" ht="15" hidden="1" customHeight="1" x14ac:dyDescent="0.3">
      <c r="A468" s="644"/>
      <c r="B468" s="644"/>
      <c r="C468" s="644"/>
      <c r="D468" s="644"/>
      <c r="E468" s="305">
        <f>SUMIF(Adjustments!A:A,A468,Adjustments!C:C)</f>
        <v>0</v>
      </c>
      <c r="F468" s="280">
        <f t="shared" si="6"/>
        <v>0</v>
      </c>
      <c r="G468" s="263" t="e">
        <v>#N/A</v>
      </c>
      <c r="H468" s="266" t="e">
        <f>VLOOKUP('Trial Balance'!$A468,'Code Allocation'!$A:$D,4,0)</f>
        <v>#N/A</v>
      </c>
      <c r="I468" s="267" t="e">
        <f>VLOOKUP('Trial Balance'!$A468,'Code Allocation'!$A:$E,5,0)</f>
        <v>#N/A</v>
      </c>
      <c r="J468" s="268" t="e">
        <f>VLOOKUP('Trial Balance'!$A468,'Code Allocation'!$A:$F,6,0)</f>
        <v>#N/A</v>
      </c>
    </row>
    <row r="469" spans="1:10" ht="15" hidden="1" customHeight="1" x14ac:dyDescent="0.3">
      <c r="A469" s="644"/>
      <c r="B469" s="644"/>
      <c r="C469" s="645"/>
      <c r="D469" s="644"/>
      <c r="E469" s="305">
        <f>SUMIF(Adjustments!A:A,A469,Adjustments!C:C)</f>
        <v>0</v>
      </c>
      <c r="F469" s="280">
        <f t="shared" si="6"/>
        <v>0</v>
      </c>
      <c r="G469" s="263" t="e">
        <v>#N/A</v>
      </c>
      <c r="H469" s="266" t="e">
        <f>VLOOKUP('Trial Balance'!$A469,'Code Allocation'!$A:$D,4,0)</f>
        <v>#N/A</v>
      </c>
      <c r="I469" s="267" t="e">
        <f>VLOOKUP('Trial Balance'!$A469,'Code Allocation'!$A:$E,5,0)</f>
        <v>#N/A</v>
      </c>
      <c r="J469" s="268" t="e">
        <f>VLOOKUP('Trial Balance'!$A469,'Code Allocation'!$A:$F,6,0)</f>
        <v>#N/A</v>
      </c>
    </row>
    <row r="470" spans="1:10" ht="15" hidden="1" customHeight="1" x14ac:dyDescent="0.3">
      <c r="A470" s="644"/>
      <c r="B470" s="644"/>
      <c r="C470" s="644"/>
      <c r="D470" s="644"/>
      <c r="E470" s="305">
        <f>SUMIF(Adjustments!A:A,A470,Adjustments!C:C)</f>
        <v>0</v>
      </c>
      <c r="F470" s="280">
        <f t="shared" si="6"/>
        <v>0</v>
      </c>
      <c r="G470" s="263" t="e">
        <v>#N/A</v>
      </c>
      <c r="H470" s="266" t="e">
        <f>VLOOKUP('Trial Balance'!$A470,'Code Allocation'!$A:$D,4,0)</f>
        <v>#N/A</v>
      </c>
      <c r="I470" s="267" t="e">
        <f>VLOOKUP('Trial Balance'!$A470,'Code Allocation'!$A:$E,5,0)</f>
        <v>#N/A</v>
      </c>
      <c r="J470" s="268" t="e">
        <f>VLOOKUP('Trial Balance'!$A470,'Code Allocation'!$A:$F,6,0)</f>
        <v>#N/A</v>
      </c>
    </row>
    <row r="471" spans="1:10" ht="15" hidden="1" customHeight="1" x14ac:dyDescent="0.3">
      <c r="A471" s="644"/>
      <c r="B471" s="644"/>
      <c r="C471" s="644"/>
      <c r="D471" s="644"/>
      <c r="E471" s="305">
        <f>SUMIF(Adjustments!A:A,A471,Adjustments!C:C)</f>
        <v>0</v>
      </c>
      <c r="F471" s="280">
        <f t="shared" si="6"/>
        <v>0</v>
      </c>
      <c r="G471" s="263" t="e">
        <v>#N/A</v>
      </c>
      <c r="H471" s="266" t="e">
        <f>VLOOKUP('Trial Balance'!$A471,'Code Allocation'!$A:$D,4,0)</f>
        <v>#N/A</v>
      </c>
      <c r="I471" s="267" t="e">
        <f>VLOOKUP('Trial Balance'!$A471,'Code Allocation'!$A:$E,5,0)</f>
        <v>#N/A</v>
      </c>
      <c r="J471" s="268" t="e">
        <f>VLOOKUP('Trial Balance'!$A471,'Code Allocation'!$A:$F,6,0)</f>
        <v>#N/A</v>
      </c>
    </row>
    <row r="472" spans="1:10" ht="15" hidden="1" customHeight="1" x14ac:dyDescent="0.3">
      <c r="A472" s="644"/>
      <c r="B472" s="644"/>
      <c r="C472" s="644"/>
      <c r="D472" s="644"/>
      <c r="E472" s="305">
        <f>SUMIF(Adjustments!A:A,A472,Adjustments!C:C)</f>
        <v>0</v>
      </c>
      <c r="F472" s="280">
        <f t="shared" si="6"/>
        <v>0</v>
      </c>
      <c r="G472" s="263" t="e">
        <v>#N/A</v>
      </c>
      <c r="H472" s="266" t="e">
        <f>VLOOKUP('Trial Balance'!$A472,'Code Allocation'!$A:$D,4,0)</f>
        <v>#N/A</v>
      </c>
      <c r="I472" s="267" t="e">
        <f>VLOOKUP('Trial Balance'!$A472,'Code Allocation'!$A:$E,5,0)</f>
        <v>#N/A</v>
      </c>
      <c r="J472" s="268" t="e">
        <f>VLOOKUP('Trial Balance'!$A472,'Code Allocation'!$A:$F,6,0)</f>
        <v>#N/A</v>
      </c>
    </row>
    <row r="473" spans="1:10" ht="15" hidden="1" customHeight="1" x14ac:dyDescent="0.3">
      <c r="A473" s="644"/>
      <c r="B473" s="644"/>
      <c r="C473" s="644"/>
      <c r="D473" s="644"/>
      <c r="E473" s="305">
        <f>SUMIF(Adjustments!A:A,A473,Adjustments!C:C)</f>
        <v>0</v>
      </c>
      <c r="F473" s="280">
        <f t="shared" si="6"/>
        <v>0</v>
      </c>
      <c r="G473" s="263" t="e">
        <v>#N/A</v>
      </c>
      <c r="H473" s="266" t="e">
        <f>VLOOKUP('Trial Balance'!$A473,'Code Allocation'!$A:$D,4,0)</f>
        <v>#N/A</v>
      </c>
      <c r="I473" s="267" t="e">
        <f>VLOOKUP('Trial Balance'!$A473,'Code Allocation'!$A:$E,5,0)</f>
        <v>#N/A</v>
      </c>
      <c r="J473" s="268" t="e">
        <f>VLOOKUP('Trial Balance'!$A473,'Code Allocation'!$A:$F,6,0)</f>
        <v>#N/A</v>
      </c>
    </row>
    <row r="474" spans="1:10" ht="15" hidden="1" customHeight="1" x14ac:dyDescent="0.3">
      <c r="A474" s="644"/>
      <c r="B474" s="644"/>
      <c r="C474" s="644"/>
      <c r="D474" s="644"/>
      <c r="E474" s="305">
        <f>SUMIF(Adjustments!A:A,A474,Adjustments!C:C)</f>
        <v>0</v>
      </c>
      <c r="F474" s="280">
        <f t="shared" si="6"/>
        <v>0</v>
      </c>
      <c r="G474" s="263" t="e">
        <v>#N/A</v>
      </c>
      <c r="H474" s="266" t="e">
        <f>VLOOKUP('Trial Balance'!$A474,'Code Allocation'!$A:$D,4,0)</f>
        <v>#N/A</v>
      </c>
      <c r="I474" s="267" t="e">
        <f>VLOOKUP('Trial Balance'!$A474,'Code Allocation'!$A:$E,5,0)</f>
        <v>#N/A</v>
      </c>
      <c r="J474" s="268" t="e">
        <f>VLOOKUP('Trial Balance'!$A474,'Code Allocation'!$A:$F,6,0)</f>
        <v>#N/A</v>
      </c>
    </row>
    <row r="475" spans="1:10" ht="15" hidden="1" customHeight="1" x14ac:dyDescent="0.3">
      <c r="A475" s="644"/>
      <c r="B475" s="644"/>
      <c r="C475" s="644"/>
      <c r="D475" s="644"/>
      <c r="E475" s="305">
        <f>SUMIF(Adjustments!A:A,A475,Adjustments!C:C)</f>
        <v>0</v>
      </c>
      <c r="F475" s="280">
        <f t="shared" si="6"/>
        <v>0</v>
      </c>
      <c r="G475" s="263" t="e">
        <v>#N/A</v>
      </c>
      <c r="H475" s="266" t="e">
        <f>VLOOKUP('Trial Balance'!$A475,'Code Allocation'!$A:$D,4,0)</f>
        <v>#N/A</v>
      </c>
      <c r="I475" s="267" t="e">
        <f>VLOOKUP('Trial Balance'!$A475,'Code Allocation'!$A:$E,5,0)</f>
        <v>#N/A</v>
      </c>
      <c r="J475" s="268" t="e">
        <f>VLOOKUP('Trial Balance'!$A475,'Code Allocation'!$A:$F,6,0)</f>
        <v>#N/A</v>
      </c>
    </row>
    <row r="476" spans="1:10" ht="15" hidden="1" customHeight="1" x14ac:dyDescent="0.3">
      <c r="A476" s="644"/>
      <c r="B476" s="644"/>
      <c r="C476" s="644"/>
      <c r="D476" s="644"/>
      <c r="E476" s="305">
        <f>SUMIF(Adjustments!A:A,A476,Adjustments!C:C)</f>
        <v>0</v>
      </c>
      <c r="F476" s="280">
        <f t="shared" si="6"/>
        <v>0</v>
      </c>
      <c r="G476" s="263" t="e">
        <v>#N/A</v>
      </c>
      <c r="H476" s="266" t="e">
        <f>VLOOKUP('Trial Balance'!$A476,'Code Allocation'!$A:$D,4,0)</f>
        <v>#N/A</v>
      </c>
      <c r="I476" s="267" t="e">
        <f>VLOOKUP('Trial Balance'!$A476,'Code Allocation'!$A:$E,5,0)</f>
        <v>#N/A</v>
      </c>
      <c r="J476" s="268" t="e">
        <f>VLOOKUP('Trial Balance'!$A476,'Code Allocation'!$A:$F,6,0)</f>
        <v>#N/A</v>
      </c>
    </row>
    <row r="477" spans="1:10" ht="15" hidden="1" customHeight="1" x14ac:dyDescent="0.3">
      <c r="A477" s="644"/>
      <c r="B477" s="644"/>
      <c r="C477" s="644"/>
      <c r="D477" s="644"/>
      <c r="E477" s="305">
        <f>SUMIF(Adjustments!A:A,A477,Adjustments!C:C)</f>
        <v>0</v>
      </c>
      <c r="F477" s="280">
        <f t="shared" si="6"/>
        <v>0</v>
      </c>
      <c r="G477" s="263" t="e">
        <v>#N/A</v>
      </c>
      <c r="H477" s="266" t="e">
        <f>VLOOKUP('Trial Balance'!$A477,'Code Allocation'!$A:$D,4,0)</f>
        <v>#N/A</v>
      </c>
      <c r="I477" s="267" t="e">
        <f>VLOOKUP('Trial Balance'!$A477,'Code Allocation'!$A:$E,5,0)</f>
        <v>#N/A</v>
      </c>
      <c r="J477" s="268" t="e">
        <f>VLOOKUP('Trial Balance'!$A477,'Code Allocation'!$A:$F,6,0)</f>
        <v>#N/A</v>
      </c>
    </row>
    <row r="478" spans="1:10" ht="15" hidden="1" customHeight="1" x14ac:dyDescent="0.3">
      <c r="A478" s="644"/>
      <c r="B478" s="644"/>
      <c r="C478" s="644"/>
      <c r="D478" s="644"/>
      <c r="E478" s="305">
        <f>SUMIF(Adjustments!A:A,A478,Adjustments!C:C)</f>
        <v>0</v>
      </c>
      <c r="F478" s="280">
        <f t="shared" si="6"/>
        <v>0</v>
      </c>
      <c r="G478" s="263" t="e">
        <v>#N/A</v>
      </c>
      <c r="H478" s="266" t="e">
        <f>VLOOKUP('Trial Balance'!$A478,'Code Allocation'!$A:$D,4,0)</f>
        <v>#N/A</v>
      </c>
      <c r="I478" s="267" t="e">
        <f>VLOOKUP('Trial Balance'!$A478,'Code Allocation'!$A:$E,5,0)</f>
        <v>#N/A</v>
      </c>
      <c r="J478" s="268" t="e">
        <f>VLOOKUP('Trial Balance'!$A478,'Code Allocation'!$A:$F,6,0)</f>
        <v>#N/A</v>
      </c>
    </row>
    <row r="479" spans="1:10" ht="15" hidden="1" customHeight="1" x14ac:dyDescent="0.3">
      <c r="A479" s="644"/>
      <c r="B479" s="644"/>
      <c r="C479" s="644"/>
      <c r="D479" s="644"/>
      <c r="E479" s="305">
        <f>SUMIF(Adjustments!A:A,A479,Adjustments!C:C)</f>
        <v>0</v>
      </c>
      <c r="F479" s="280">
        <f t="shared" si="6"/>
        <v>0</v>
      </c>
      <c r="G479" s="263" t="e">
        <v>#N/A</v>
      </c>
      <c r="H479" s="266" t="e">
        <f>VLOOKUP('Trial Balance'!$A479,'Code Allocation'!$A:$D,4,0)</f>
        <v>#N/A</v>
      </c>
      <c r="I479" s="267" t="e">
        <f>VLOOKUP('Trial Balance'!$A479,'Code Allocation'!$A:$E,5,0)</f>
        <v>#N/A</v>
      </c>
      <c r="J479" s="268" t="e">
        <f>VLOOKUP('Trial Balance'!$A479,'Code Allocation'!$A:$F,6,0)</f>
        <v>#N/A</v>
      </c>
    </row>
    <row r="480" spans="1:10" ht="15" hidden="1" customHeight="1" x14ac:dyDescent="0.3">
      <c r="A480" s="644"/>
      <c r="B480" s="644"/>
      <c r="C480" s="644"/>
      <c r="D480" s="644"/>
      <c r="E480" s="305">
        <f>SUMIF(Adjustments!A:A,A480,Adjustments!C:C)</f>
        <v>0</v>
      </c>
      <c r="F480" s="280">
        <f t="shared" si="6"/>
        <v>0</v>
      </c>
      <c r="G480" s="263" t="e">
        <v>#N/A</v>
      </c>
      <c r="H480" s="266" t="e">
        <f>VLOOKUP('Trial Balance'!$A480,'Code Allocation'!$A:$D,4,0)</f>
        <v>#N/A</v>
      </c>
      <c r="I480" s="267" t="e">
        <f>VLOOKUP('Trial Balance'!$A480,'Code Allocation'!$A:$E,5,0)</f>
        <v>#N/A</v>
      </c>
      <c r="J480" s="268" t="e">
        <f>VLOOKUP('Trial Balance'!$A480,'Code Allocation'!$A:$F,6,0)</f>
        <v>#N/A</v>
      </c>
    </row>
    <row r="481" spans="1:10" ht="15" hidden="1" customHeight="1" x14ac:dyDescent="0.3">
      <c r="A481" s="644"/>
      <c r="B481" s="644"/>
      <c r="C481" s="644"/>
      <c r="D481" s="644"/>
      <c r="E481" s="305">
        <f>SUMIF(Adjustments!A:A,A481,Adjustments!C:C)</f>
        <v>0</v>
      </c>
      <c r="F481" s="280">
        <f t="shared" si="6"/>
        <v>0</v>
      </c>
      <c r="G481" s="263" t="e">
        <v>#N/A</v>
      </c>
      <c r="H481" s="266" t="e">
        <f>VLOOKUP('Trial Balance'!$A481,'Code Allocation'!$A:$D,4,0)</f>
        <v>#N/A</v>
      </c>
      <c r="I481" s="267" t="e">
        <f>VLOOKUP('Trial Balance'!$A481,'Code Allocation'!$A:$E,5,0)</f>
        <v>#N/A</v>
      </c>
      <c r="J481" s="268" t="e">
        <f>VLOOKUP('Trial Balance'!$A481,'Code Allocation'!$A:$F,6,0)</f>
        <v>#N/A</v>
      </c>
    </row>
    <row r="482" spans="1:10" ht="15" hidden="1" customHeight="1" x14ac:dyDescent="0.3">
      <c r="A482" s="644"/>
      <c r="B482" s="644"/>
      <c r="C482" s="644"/>
      <c r="D482" s="644"/>
      <c r="E482" s="305">
        <f>SUMIF(Adjustments!A:A,A482,Adjustments!C:C)</f>
        <v>0</v>
      </c>
      <c r="F482" s="280">
        <f t="shared" si="6"/>
        <v>0</v>
      </c>
      <c r="G482" s="263" t="e">
        <v>#N/A</v>
      </c>
      <c r="H482" s="266" t="e">
        <f>VLOOKUP('Trial Balance'!$A482,'Code Allocation'!$A:$D,4,0)</f>
        <v>#N/A</v>
      </c>
      <c r="I482" s="267" t="e">
        <f>VLOOKUP('Trial Balance'!$A482,'Code Allocation'!$A:$E,5,0)</f>
        <v>#N/A</v>
      </c>
      <c r="J482" s="268" t="e">
        <f>VLOOKUP('Trial Balance'!$A482,'Code Allocation'!$A:$F,6,0)</f>
        <v>#N/A</v>
      </c>
    </row>
    <row r="483" spans="1:10" ht="15" hidden="1" customHeight="1" x14ac:dyDescent="0.3">
      <c r="A483" s="644"/>
      <c r="B483" s="644"/>
      <c r="C483" s="644"/>
      <c r="D483" s="644"/>
      <c r="E483" s="305">
        <f>SUMIF(Adjustments!A:A,A483,Adjustments!C:C)</f>
        <v>0</v>
      </c>
      <c r="F483" s="280">
        <f t="shared" si="6"/>
        <v>0</v>
      </c>
      <c r="G483" s="263" t="e">
        <v>#N/A</v>
      </c>
      <c r="H483" s="266" t="e">
        <f>VLOOKUP('Trial Balance'!$A483,'Code Allocation'!$A:$D,4,0)</f>
        <v>#N/A</v>
      </c>
      <c r="I483" s="267" t="e">
        <f>VLOOKUP('Trial Balance'!$A483,'Code Allocation'!$A:$E,5,0)</f>
        <v>#N/A</v>
      </c>
      <c r="J483" s="268" t="e">
        <f>VLOOKUP('Trial Balance'!$A483,'Code Allocation'!$A:$F,6,0)</f>
        <v>#N/A</v>
      </c>
    </row>
    <row r="484" spans="1:10" ht="15" hidden="1" customHeight="1" x14ac:dyDescent="0.3">
      <c r="A484" s="644"/>
      <c r="B484" s="644"/>
      <c r="C484" s="644"/>
      <c r="D484" s="644"/>
      <c r="E484" s="305">
        <f>SUMIF(Adjustments!A:A,A484,Adjustments!C:C)</f>
        <v>0</v>
      </c>
      <c r="F484" s="280">
        <f t="shared" si="6"/>
        <v>0</v>
      </c>
      <c r="G484" s="263" t="e">
        <v>#N/A</v>
      </c>
      <c r="H484" s="266" t="e">
        <f>VLOOKUP('Trial Balance'!$A484,'Code Allocation'!$A:$D,4,0)</f>
        <v>#N/A</v>
      </c>
      <c r="I484" s="267" t="e">
        <f>VLOOKUP('Trial Balance'!$A484,'Code Allocation'!$A:$E,5,0)</f>
        <v>#N/A</v>
      </c>
      <c r="J484" s="268" t="e">
        <f>VLOOKUP('Trial Balance'!$A484,'Code Allocation'!$A:$F,6,0)</f>
        <v>#N/A</v>
      </c>
    </row>
    <row r="485" spans="1:10" ht="15" hidden="1" customHeight="1" x14ac:dyDescent="0.3">
      <c r="A485" s="644"/>
      <c r="B485" s="644"/>
      <c r="C485" s="644"/>
      <c r="D485" s="644"/>
      <c r="E485" s="305">
        <f>SUMIF(Adjustments!A:A,A485,Adjustments!C:C)</f>
        <v>0</v>
      </c>
      <c r="F485" s="280">
        <f t="shared" si="6"/>
        <v>0</v>
      </c>
      <c r="G485" s="263" t="e">
        <v>#N/A</v>
      </c>
      <c r="H485" s="266" t="e">
        <f>VLOOKUP('Trial Balance'!$A485,'Code Allocation'!$A:$D,4,0)</f>
        <v>#N/A</v>
      </c>
      <c r="I485" s="267" t="e">
        <f>VLOOKUP('Trial Balance'!$A485,'Code Allocation'!$A:$E,5,0)</f>
        <v>#N/A</v>
      </c>
      <c r="J485" s="268" t="e">
        <f>VLOOKUP('Trial Balance'!$A485,'Code Allocation'!$A:$F,6,0)</f>
        <v>#N/A</v>
      </c>
    </row>
    <row r="486" spans="1:10" ht="15" hidden="1" customHeight="1" x14ac:dyDescent="0.3">
      <c r="A486" s="644"/>
      <c r="B486" s="644"/>
      <c r="C486" s="645"/>
      <c r="D486" s="644"/>
      <c r="E486" s="305">
        <f>SUMIF(Adjustments!A:A,A486,Adjustments!C:C)</f>
        <v>0</v>
      </c>
      <c r="F486" s="280">
        <f t="shared" si="6"/>
        <v>0</v>
      </c>
      <c r="G486" s="263" t="e">
        <v>#N/A</v>
      </c>
      <c r="H486" s="266" t="e">
        <f>VLOOKUP('Trial Balance'!$A486,'Code Allocation'!$A:$D,4,0)</f>
        <v>#N/A</v>
      </c>
      <c r="I486" s="267" t="e">
        <f>VLOOKUP('Trial Balance'!$A486,'Code Allocation'!$A:$E,5,0)</f>
        <v>#N/A</v>
      </c>
      <c r="J486" s="268" t="e">
        <f>VLOOKUP('Trial Balance'!$A486,'Code Allocation'!$A:$F,6,0)</f>
        <v>#N/A</v>
      </c>
    </row>
    <row r="487" spans="1:10" ht="15" hidden="1" customHeight="1" x14ac:dyDescent="0.3">
      <c r="A487" s="644"/>
      <c r="B487" s="644"/>
      <c r="C487" s="644"/>
      <c r="D487" s="644"/>
      <c r="E487" s="305">
        <f>SUMIF(Adjustments!A:A,A487,Adjustments!C:C)</f>
        <v>0</v>
      </c>
      <c r="F487" s="280">
        <f t="shared" si="6"/>
        <v>0</v>
      </c>
      <c r="G487" s="263" t="e">
        <v>#N/A</v>
      </c>
      <c r="H487" s="266" t="e">
        <f>VLOOKUP('Trial Balance'!$A487,'Code Allocation'!$A:$D,4,0)</f>
        <v>#N/A</v>
      </c>
      <c r="I487" s="267" t="e">
        <f>VLOOKUP('Trial Balance'!$A487,'Code Allocation'!$A:$E,5,0)</f>
        <v>#N/A</v>
      </c>
      <c r="J487" s="268" t="e">
        <f>VLOOKUP('Trial Balance'!$A487,'Code Allocation'!$A:$F,6,0)</f>
        <v>#N/A</v>
      </c>
    </row>
    <row r="488" spans="1:10" ht="15" hidden="1" customHeight="1" x14ac:dyDescent="0.3">
      <c r="A488" s="644"/>
      <c r="B488" s="644"/>
      <c r="C488" s="644"/>
      <c r="D488" s="644"/>
      <c r="E488" s="305">
        <f>SUMIF(Adjustments!A:A,A488,Adjustments!C:C)</f>
        <v>0</v>
      </c>
      <c r="F488" s="280">
        <f t="shared" si="6"/>
        <v>0</v>
      </c>
      <c r="G488" s="263" t="e">
        <v>#N/A</v>
      </c>
      <c r="H488" s="266" t="e">
        <f>VLOOKUP('Trial Balance'!$A488,'Code Allocation'!$A:$D,4,0)</f>
        <v>#N/A</v>
      </c>
      <c r="I488" s="267" t="e">
        <f>VLOOKUP('Trial Balance'!$A488,'Code Allocation'!$A:$E,5,0)</f>
        <v>#N/A</v>
      </c>
      <c r="J488" s="268" t="e">
        <f>VLOOKUP('Trial Balance'!$A488,'Code Allocation'!$A:$F,6,0)</f>
        <v>#N/A</v>
      </c>
    </row>
    <row r="489" spans="1:10" ht="15" hidden="1" customHeight="1" x14ac:dyDescent="0.3">
      <c r="A489" s="644"/>
      <c r="B489" s="644"/>
      <c r="C489" s="644"/>
      <c r="D489" s="644"/>
      <c r="E489" s="305">
        <f>SUMIF(Adjustments!A:A,A489,Adjustments!C:C)</f>
        <v>0</v>
      </c>
      <c r="F489" s="280">
        <f t="shared" si="6"/>
        <v>0</v>
      </c>
      <c r="G489" s="263" t="e">
        <v>#N/A</v>
      </c>
      <c r="H489" s="266" t="e">
        <f>VLOOKUP('Trial Balance'!$A489,'Code Allocation'!$A:$D,4,0)</f>
        <v>#N/A</v>
      </c>
      <c r="I489" s="267" t="e">
        <f>VLOOKUP('Trial Balance'!$A489,'Code Allocation'!$A:$E,5,0)</f>
        <v>#N/A</v>
      </c>
      <c r="J489" s="268" t="e">
        <f>VLOOKUP('Trial Balance'!$A489,'Code Allocation'!$A:$F,6,0)</f>
        <v>#N/A</v>
      </c>
    </row>
    <row r="490" spans="1:10" ht="15" hidden="1" customHeight="1" x14ac:dyDescent="0.3">
      <c r="A490" s="644"/>
      <c r="B490" s="644"/>
      <c r="C490" s="644"/>
      <c r="D490" s="644"/>
      <c r="E490" s="305">
        <f>SUMIF(Adjustments!A:A,A490,Adjustments!C:C)</f>
        <v>0</v>
      </c>
      <c r="F490" s="280">
        <f t="shared" si="6"/>
        <v>0</v>
      </c>
      <c r="G490" s="263" t="e">
        <v>#N/A</v>
      </c>
      <c r="H490" s="266" t="e">
        <f>VLOOKUP('Trial Balance'!$A490,'Code Allocation'!$A:$D,4,0)</f>
        <v>#N/A</v>
      </c>
      <c r="I490" s="267" t="e">
        <f>VLOOKUP('Trial Balance'!$A490,'Code Allocation'!$A:$E,5,0)</f>
        <v>#N/A</v>
      </c>
      <c r="J490" s="268" t="e">
        <f>VLOOKUP('Trial Balance'!$A490,'Code Allocation'!$A:$F,6,0)</f>
        <v>#N/A</v>
      </c>
    </row>
    <row r="491" spans="1:10" ht="15" hidden="1" customHeight="1" x14ac:dyDescent="0.3">
      <c r="A491" s="644"/>
      <c r="B491" s="644"/>
      <c r="C491" s="644"/>
      <c r="D491" s="644"/>
      <c r="E491" s="305">
        <f>SUMIF(Adjustments!A:A,A491,Adjustments!C:C)</f>
        <v>0</v>
      </c>
      <c r="F491" s="280">
        <f t="shared" si="6"/>
        <v>0</v>
      </c>
      <c r="G491" s="263" t="e">
        <v>#N/A</v>
      </c>
      <c r="H491" s="266" t="e">
        <f>VLOOKUP('Trial Balance'!$A491,'Code Allocation'!$A:$D,4,0)</f>
        <v>#N/A</v>
      </c>
      <c r="I491" s="267" t="e">
        <f>VLOOKUP('Trial Balance'!$A491,'Code Allocation'!$A:$E,5,0)</f>
        <v>#N/A</v>
      </c>
      <c r="J491" s="268" t="e">
        <f>VLOOKUP('Trial Balance'!$A491,'Code Allocation'!$A:$F,6,0)</f>
        <v>#N/A</v>
      </c>
    </row>
    <row r="492" spans="1:10" ht="15" hidden="1" customHeight="1" x14ac:dyDescent="0.3">
      <c r="A492" s="644"/>
      <c r="B492" s="644"/>
      <c r="C492" s="644"/>
      <c r="D492" s="644"/>
      <c r="E492" s="305">
        <f>SUMIF(Adjustments!A:A,A492,Adjustments!C:C)</f>
        <v>0</v>
      </c>
      <c r="F492" s="280">
        <f t="shared" ref="F492:F555" si="7">C492-D492+E492</f>
        <v>0</v>
      </c>
      <c r="G492" s="263" t="e">
        <v>#N/A</v>
      </c>
      <c r="H492" s="266" t="e">
        <f>VLOOKUP('Trial Balance'!$A492,'Code Allocation'!$A:$D,4,0)</f>
        <v>#N/A</v>
      </c>
      <c r="I492" s="267" t="e">
        <f>VLOOKUP('Trial Balance'!$A492,'Code Allocation'!$A:$E,5,0)</f>
        <v>#N/A</v>
      </c>
      <c r="J492" s="268" t="e">
        <f>VLOOKUP('Trial Balance'!$A492,'Code Allocation'!$A:$F,6,0)</f>
        <v>#N/A</v>
      </c>
    </row>
    <row r="493" spans="1:10" ht="15" hidden="1" customHeight="1" x14ac:dyDescent="0.3">
      <c r="A493" s="644"/>
      <c r="B493" s="644"/>
      <c r="C493" s="644"/>
      <c r="D493" s="644"/>
      <c r="E493" s="305">
        <f>SUMIF(Adjustments!A:A,A493,Adjustments!C:C)</f>
        <v>0</v>
      </c>
      <c r="F493" s="280">
        <f t="shared" si="7"/>
        <v>0</v>
      </c>
      <c r="G493" s="263" t="e">
        <v>#N/A</v>
      </c>
      <c r="H493" s="266" t="e">
        <f>VLOOKUP('Trial Balance'!$A493,'Code Allocation'!$A:$D,4,0)</f>
        <v>#N/A</v>
      </c>
      <c r="I493" s="267" t="e">
        <f>VLOOKUP('Trial Balance'!$A493,'Code Allocation'!$A:$E,5,0)</f>
        <v>#N/A</v>
      </c>
      <c r="J493" s="268" t="e">
        <f>VLOOKUP('Trial Balance'!$A493,'Code Allocation'!$A:$F,6,0)</f>
        <v>#N/A</v>
      </c>
    </row>
    <row r="494" spans="1:10" ht="15" hidden="1" customHeight="1" x14ac:dyDescent="0.3">
      <c r="A494" s="644"/>
      <c r="B494" s="644"/>
      <c r="C494" s="644"/>
      <c r="D494" s="644"/>
      <c r="E494" s="305">
        <f>SUMIF(Adjustments!A:A,A494,Adjustments!C:C)</f>
        <v>0</v>
      </c>
      <c r="F494" s="280">
        <f t="shared" si="7"/>
        <v>0</v>
      </c>
      <c r="G494" s="263" t="e">
        <v>#N/A</v>
      </c>
      <c r="H494" s="266" t="e">
        <f>VLOOKUP('Trial Balance'!$A494,'Code Allocation'!$A:$D,4,0)</f>
        <v>#N/A</v>
      </c>
      <c r="I494" s="267" t="e">
        <f>VLOOKUP('Trial Balance'!$A494,'Code Allocation'!$A:$E,5,0)</f>
        <v>#N/A</v>
      </c>
      <c r="J494" s="268" t="e">
        <f>VLOOKUP('Trial Balance'!$A494,'Code Allocation'!$A:$F,6,0)</f>
        <v>#N/A</v>
      </c>
    </row>
    <row r="495" spans="1:10" ht="15" hidden="1" customHeight="1" x14ac:dyDescent="0.3">
      <c r="A495" s="644"/>
      <c r="B495" s="644"/>
      <c r="C495" s="644"/>
      <c r="D495" s="644"/>
      <c r="E495" s="305">
        <f>SUMIF(Adjustments!A:A,A495,Adjustments!C:C)</f>
        <v>0</v>
      </c>
      <c r="F495" s="280">
        <f t="shared" si="7"/>
        <v>0</v>
      </c>
      <c r="G495" s="263" t="e">
        <v>#N/A</v>
      </c>
      <c r="H495" s="266" t="e">
        <f>VLOOKUP('Trial Balance'!$A495,'Code Allocation'!$A:$D,4,0)</f>
        <v>#N/A</v>
      </c>
      <c r="I495" s="267" t="e">
        <f>VLOOKUP('Trial Balance'!$A495,'Code Allocation'!$A:$E,5,0)</f>
        <v>#N/A</v>
      </c>
      <c r="J495" s="268" t="e">
        <f>VLOOKUP('Trial Balance'!$A495,'Code Allocation'!$A:$F,6,0)</f>
        <v>#N/A</v>
      </c>
    </row>
    <row r="496" spans="1:10" ht="15" hidden="1" customHeight="1" x14ac:dyDescent="0.3">
      <c r="A496" s="644"/>
      <c r="B496" s="644"/>
      <c r="C496" s="644"/>
      <c r="D496" s="644"/>
      <c r="E496" s="305">
        <f>SUMIF(Adjustments!A:A,A496,Adjustments!C:C)</f>
        <v>0</v>
      </c>
      <c r="F496" s="280">
        <f t="shared" si="7"/>
        <v>0</v>
      </c>
      <c r="G496" s="263" t="e">
        <v>#N/A</v>
      </c>
      <c r="H496" s="266" t="e">
        <f>VLOOKUP('Trial Balance'!$A496,'Code Allocation'!$A:$D,4,0)</f>
        <v>#N/A</v>
      </c>
      <c r="I496" s="267" t="e">
        <f>VLOOKUP('Trial Balance'!$A496,'Code Allocation'!$A:$E,5,0)</f>
        <v>#N/A</v>
      </c>
      <c r="J496" s="268" t="e">
        <f>VLOOKUP('Trial Balance'!$A496,'Code Allocation'!$A:$F,6,0)</f>
        <v>#N/A</v>
      </c>
    </row>
    <row r="497" spans="1:10" ht="15" hidden="1" customHeight="1" x14ac:dyDescent="0.3">
      <c r="A497" s="644"/>
      <c r="B497" s="644"/>
      <c r="C497" s="644"/>
      <c r="D497" s="644"/>
      <c r="E497" s="305">
        <f>SUMIF(Adjustments!A:A,A497,Adjustments!C:C)</f>
        <v>0</v>
      </c>
      <c r="F497" s="280">
        <f t="shared" si="7"/>
        <v>0</v>
      </c>
      <c r="G497" s="263" t="e">
        <v>#N/A</v>
      </c>
      <c r="H497" s="266" t="e">
        <f>VLOOKUP('Trial Balance'!$A497,'Code Allocation'!$A:$D,4,0)</f>
        <v>#N/A</v>
      </c>
      <c r="I497" s="267" t="e">
        <f>VLOOKUP('Trial Balance'!$A497,'Code Allocation'!$A:$E,5,0)</f>
        <v>#N/A</v>
      </c>
      <c r="J497" s="268" t="e">
        <f>VLOOKUP('Trial Balance'!$A497,'Code Allocation'!$A:$F,6,0)</f>
        <v>#N/A</v>
      </c>
    </row>
    <row r="498" spans="1:10" ht="15" hidden="1" customHeight="1" x14ac:dyDescent="0.3">
      <c r="A498" s="644"/>
      <c r="B498" s="644"/>
      <c r="C498" s="644"/>
      <c r="D498" s="644"/>
      <c r="E498" s="305">
        <f>SUMIF(Adjustments!A:A,A498,Adjustments!C:C)</f>
        <v>0</v>
      </c>
      <c r="F498" s="280">
        <f t="shared" si="7"/>
        <v>0</v>
      </c>
      <c r="G498" s="263" t="e">
        <v>#N/A</v>
      </c>
      <c r="H498" s="266" t="e">
        <f>VLOOKUP('Trial Balance'!$A498,'Code Allocation'!$A:$D,4,0)</f>
        <v>#N/A</v>
      </c>
      <c r="I498" s="267" t="e">
        <f>VLOOKUP('Trial Balance'!$A498,'Code Allocation'!$A:$E,5,0)</f>
        <v>#N/A</v>
      </c>
      <c r="J498" s="268" t="e">
        <f>VLOOKUP('Trial Balance'!$A498,'Code Allocation'!$A:$F,6,0)</f>
        <v>#N/A</v>
      </c>
    </row>
    <row r="499" spans="1:10" ht="15" hidden="1" customHeight="1" x14ac:dyDescent="0.3">
      <c r="A499" s="644"/>
      <c r="B499" s="644"/>
      <c r="C499" s="644"/>
      <c r="D499" s="644"/>
      <c r="E499" s="305">
        <f>SUMIF(Adjustments!A:A,A499,Adjustments!C:C)</f>
        <v>0</v>
      </c>
      <c r="F499" s="280">
        <f t="shared" si="7"/>
        <v>0</v>
      </c>
      <c r="G499" s="263" t="e">
        <v>#N/A</v>
      </c>
      <c r="H499" s="266" t="e">
        <f>VLOOKUP('Trial Balance'!$A499,'Code Allocation'!$A:$D,4,0)</f>
        <v>#N/A</v>
      </c>
      <c r="I499" s="267" t="e">
        <f>VLOOKUP('Trial Balance'!$A499,'Code Allocation'!$A:$E,5,0)</f>
        <v>#N/A</v>
      </c>
      <c r="J499" s="268" t="e">
        <f>VLOOKUP('Trial Balance'!$A499,'Code Allocation'!$A:$F,6,0)</f>
        <v>#N/A</v>
      </c>
    </row>
    <row r="500" spans="1:10" ht="15" hidden="1" customHeight="1" x14ac:dyDescent="0.3">
      <c r="A500" s="644"/>
      <c r="B500" s="644"/>
      <c r="C500" s="644"/>
      <c r="D500" s="644"/>
      <c r="E500" s="305">
        <f>SUMIF(Adjustments!A:A,A500,Adjustments!C:C)</f>
        <v>0</v>
      </c>
      <c r="F500" s="280">
        <f t="shared" si="7"/>
        <v>0</v>
      </c>
      <c r="G500" s="263" t="e">
        <v>#N/A</v>
      </c>
      <c r="H500" s="266" t="e">
        <f>VLOOKUP('Trial Balance'!$A500,'Code Allocation'!$A:$D,4,0)</f>
        <v>#N/A</v>
      </c>
      <c r="I500" s="267" t="e">
        <f>VLOOKUP('Trial Balance'!$A500,'Code Allocation'!$A:$E,5,0)</f>
        <v>#N/A</v>
      </c>
      <c r="J500" s="268" t="e">
        <f>VLOOKUP('Trial Balance'!$A500,'Code Allocation'!$A:$F,6,0)</f>
        <v>#N/A</v>
      </c>
    </row>
    <row r="501" spans="1:10" ht="15" hidden="1" customHeight="1" x14ac:dyDescent="0.3">
      <c r="A501" s="644"/>
      <c r="B501" s="644"/>
      <c r="C501" s="644"/>
      <c r="D501" s="644"/>
      <c r="E501" s="305">
        <f>SUMIF(Adjustments!A:A,A501,Adjustments!C:C)</f>
        <v>0</v>
      </c>
      <c r="F501" s="280">
        <f t="shared" si="7"/>
        <v>0</v>
      </c>
      <c r="G501" s="263" t="e">
        <v>#N/A</v>
      </c>
      <c r="H501" s="266" t="e">
        <f>VLOOKUP('Trial Balance'!$A501,'Code Allocation'!$A:$D,4,0)</f>
        <v>#N/A</v>
      </c>
      <c r="I501" s="267" t="e">
        <f>VLOOKUP('Trial Balance'!$A501,'Code Allocation'!$A:$E,5,0)</f>
        <v>#N/A</v>
      </c>
      <c r="J501" s="268" t="e">
        <f>VLOOKUP('Trial Balance'!$A501,'Code Allocation'!$A:$F,6,0)</f>
        <v>#N/A</v>
      </c>
    </row>
    <row r="502" spans="1:10" ht="15" hidden="1" customHeight="1" x14ac:dyDescent="0.3">
      <c r="A502" s="644"/>
      <c r="B502" s="644"/>
      <c r="C502" s="645"/>
      <c r="D502" s="644"/>
      <c r="E502" s="305">
        <f>SUMIF(Adjustments!A:A,A502,Adjustments!C:C)</f>
        <v>0</v>
      </c>
      <c r="F502" s="280">
        <f t="shared" si="7"/>
        <v>0</v>
      </c>
      <c r="G502" s="263" t="e">
        <v>#N/A</v>
      </c>
      <c r="H502" s="266" t="e">
        <f>VLOOKUP('Trial Balance'!$A502,'Code Allocation'!$A:$D,4,0)</f>
        <v>#N/A</v>
      </c>
      <c r="I502" s="267" t="e">
        <f>VLOOKUP('Trial Balance'!$A502,'Code Allocation'!$A:$E,5,0)</f>
        <v>#N/A</v>
      </c>
      <c r="J502" s="268" t="e">
        <f>VLOOKUP('Trial Balance'!$A502,'Code Allocation'!$A:$F,6,0)</f>
        <v>#N/A</v>
      </c>
    </row>
    <row r="503" spans="1:10" ht="15" hidden="1" customHeight="1" x14ac:dyDescent="0.3">
      <c r="A503" s="644"/>
      <c r="B503" s="644"/>
      <c r="C503" s="644"/>
      <c r="D503" s="644"/>
      <c r="E503" s="305">
        <f>SUMIF(Adjustments!A:A,A503,Adjustments!C:C)</f>
        <v>0</v>
      </c>
      <c r="F503" s="280">
        <f t="shared" si="7"/>
        <v>0</v>
      </c>
      <c r="G503" s="263" t="e">
        <v>#N/A</v>
      </c>
      <c r="H503" s="266" t="e">
        <f>VLOOKUP('Trial Balance'!$A503,'Code Allocation'!$A:$D,4,0)</f>
        <v>#N/A</v>
      </c>
      <c r="I503" s="267" t="e">
        <f>VLOOKUP('Trial Balance'!$A503,'Code Allocation'!$A:$E,5,0)</f>
        <v>#N/A</v>
      </c>
      <c r="J503" s="268" t="e">
        <f>VLOOKUP('Trial Balance'!$A503,'Code Allocation'!$A:$F,6,0)</f>
        <v>#N/A</v>
      </c>
    </row>
    <row r="504" spans="1:10" ht="15" hidden="1" customHeight="1" x14ac:dyDescent="0.3">
      <c r="A504" s="644"/>
      <c r="B504" s="644"/>
      <c r="C504" s="644"/>
      <c r="D504" s="644"/>
      <c r="E504" s="305">
        <f>SUMIF(Adjustments!A:A,A504,Adjustments!C:C)</f>
        <v>0</v>
      </c>
      <c r="F504" s="280">
        <f t="shared" si="7"/>
        <v>0</v>
      </c>
      <c r="G504" s="263" t="e">
        <v>#N/A</v>
      </c>
      <c r="H504" s="266" t="e">
        <f>VLOOKUP('Trial Balance'!$A504,'Code Allocation'!$A:$D,4,0)</f>
        <v>#N/A</v>
      </c>
      <c r="I504" s="267" t="e">
        <f>VLOOKUP('Trial Balance'!$A504,'Code Allocation'!$A:$E,5,0)</f>
        <v>#N/A</v>
      </c>
      <c r="J504" s="268" t="e">
        <f>VLOOKUP('Trial Balance'!$A504,'Code Allocation'!$A:$F,6,0)</f>
        <v>#N/A</v>
      </c>
    </row>
    <row r="505" spans="1:10" ht="15" hidden="1" customHeight="1" x14ac:dyDescent="0.3">
      <c r="A505" s="644"/>
      <c r="B505" s="644"/>
      <c r="C505" s="644"/>
      <c r="D505" s="644"/>
      <c r="E505" s="305">
        <f>SUMIF(Adjustments!A:A,A505,Adjustments!C:C)</f>
        <v>0</v>
      </c>
      <c r="F505" s="280">
        <f t="shared" si="7"/>
        <v>0</v>
      </c>
      <c r="G505" s="263" t="e">
        <v>#N/A</v>
      </c>
      <c r="H505" s="266" t="e">
        <f>VLOOKUP('Trial Balance'!$A505,'Code Allocation'!$A:$D,4,0)</f>
        <v>#N/A</v>
      </c>
      <c r="I505" s="267" t="e">
        <f>VLOOKUP('Trial Balance'!$A505,'Code Allocation'!$A:$E,5,0)</f>
        <v>#N/A</v>
      </c>
      <c r="J505" s="268" t="e">
        <f>VLOOKUP('Trial Balance'!$A505,'Code Allocation'!$A:$F,6,0)</f>
        <v>#N/A</v>
      </c>
    </row>
    <row r="506" spans="1:10" ht="15" hidden="1" customHeight="1" x14ac:dyDescent="0.25">
      <c r="A506" s="644"/>
      <c r="B506" s="644"/>
      <c r="C506" s="644"/>
      <c r="D506" s="644"/>
      <c r="E506" s="305">
        <f>SUMIF(Adjustments!A:A,A506,Adjustments!C:C)</f>
        <v>0</v>
      </c>
      <c r="F506" s="278">
        <f t="shared" si="7"/>
        <v>0</v>
      </c>
      <c r="G506" s="263" t="e">
        <v>#N/A</v>
      </c>
      <c r="H506" s="266" t="e">
        <f>VLOOKUP('Trial Balance'!$A506,'Code Allocation'!$A:$D,4,0)</f>
        <v>#N/A</v>
      </c>
      <c r="I506" s="267" t="e">
        <f>VLOOKUP('Trial Balance'!$A506,'Code Allocation'!$A:$E,5,0)</f>
        <v>#N/A</v>
      </c>
      <c r="J506" s="268" t="e">
        <f>VLOOKUP('Trial Balance'!$A506,'Code Allocation'!$A:$F,6,0)</f>
        <v>#N/A</v>
      </c>
    </row>
    <row r="507" spans="1:10" ht="15" hidden="1" customHeight="1" x14ac:dyDescent="0.25">
      <c r="A507" s="644"/>
      <c r="B507" s="644"/>
      <c r="C507" s="645"/>
      <c r="D507" s="644"/>
      <c r="E507" s="305">
        <f>SUMIF(Adjustments!A:A,A507,Adjustments!C:C)</f>
        <v>0</v>
      </c>
      <c r="F507" s="639">
        <f t="shared" si="7"/>
        <v>0</v>
      </c>
      <c r="G507" s="263" t="e">
        <v>#N/A</v>
      </c>
      <c r="H507" s="266" t="e">
        <f>VLOOKUP('Trial Balance'!$A507,'Code Allocation'!$A:$D,4,0)</f>
        <v>#N/A</v>
      </c>
      <c r="I507" s="267" t="e">
        <f>VLOOKUP('Trial Balance'!$A507,'Code Allocation'!$A:$E,5,0)</f>
        <v>#N/A</v>
      </c>
      <c r="J507" s="268" t="e">
        <f>VLOOKUP('Trial Balance'!$A507,'Code Allocation'!$A:$F,6,0)</f>
        <v>#N/A</v>
      </c>
    </row>
    <row r="508" spans="1:10" ht="15" hidden="1" customHeight="1" x14ac:dyDescent="0.25">
      <c r="A508" s="644"/>
      <c r="B508" s="644"/>
      <c r="C508" s="644"/>
      <c r="D508" s="644"/>
      <c r="E508" s="305">
        <f>SUMIF(Adjustments!A:A,A508,Adjustments!C:C)</f>
        <v>0</v>
      </c>
      <c r="F508" s="278">
        <f t="shared" si="7"/>
        <v>0</v>
      </c>
      <c r="G508" s="263" t="e">
        <v>#N/A</v>
      </c>
      <c r="H508" s="266" t="e">
        <f>VLOOKUP('Trial Balance'!$A508,'Code Allocation'!$A:$D,4,0)</f>
        <v>#N/A</v>
      </c>
      <c r="I508" s="267" t="e">
        <f>VLOOKUP('Trial Balance'!$A508,'Code Allocation'!$A:$E,5,0)</f>
        <v>#N/A</v>
      </c>
      <c r="J508" s="268" t="e">
        <f>VLOOKUP('Trial Balance'!$A508,'Code Allocation'!$A:$F,6,0)</f>
        <v>#N/A</v>
      </c>
    </row>
    <row r="509" spans="1:10" ht="15" hidden="1" customHeight="1" x14ac:dyDescent="0.3">
      <c r="A509" s="644"/>
      <c r="B509" s="644"/>
      <c r="C509" s="644"/>
      <c r="D509" s="644"/>
      <c r="E509" s="305">
        <f>SUMIF(Adjustments!A:A,A509,Adjustments!C:C)</f>
        <v>0</v>
      </c>
      <c r="F509" s="280">
        <f t="shared" si="7"/>
        <v>0</v>
      </c>
      <c r="G509" s="263" t="e">
        <v>#N/A</v>
      </c>
      <c r="H509" s="266" t="e">
        <f>VLOOKUP('Trial Balance'!$A509,'Code Allocation'!$A:$D,4,0)</f>
        <v>#N/A</v>
      </c>
      <c r="I509" s="267" t="e">
        <f>VLOOKUP('Trial Balance'!$A509,'Code Allocation'!$A:$E,5,0)</f>
        <v>#N/A</v>
      </c>
      <c r="J509" s="268" t="e">
        <f>VLOOKUP('Trial Balance'!$A509,'Code Allocation'!$A:$F,6,0)</f>
        <v>#N/A</v>
      </c>
    </row>
    <row r="510" spans="1:10" ht="15" hidden="1" customHeight="1" x14ac:dyDescent="0.3">
      <c r="A510" s="644"/>
      <c r="B510" s="644"/>
      <c r="C510" s="644"/>
      <c r="D510" s="644"/>
      <c r="E510" s="305">
        <f>SUMIF(Adjustments!A:A,A510,Adjustments!C:C)</f>
        <v>0</v>
      </c>
      <c r="F510" s="280">
        <f t="shared" si="7"/>
        <v>0</v>
      </c>
      <c r="G510" s="263" t="e">
        <v>#N/A</v>
      </c>
      <c r="H510" s="266" t="e">
        <f>VLOOKUP('Trial Balance'!$A510,'Code Allocation'!$A:$D,4,0)</f>
        <v>#N/A</v>
      </c>
      <c r="I510" s="267" t="e">
        <f>VLOOKUP('Trial Balance'!$A510,'Code Allocation'!$A:$E,5,0)</f>
        <v>#N/A</v>
      </c>
      <c r="J510" s="268" t="e">
        <f>VLOOKUP('Trial Balance'!$A510,'Code Allocation'!$A:$F,6,0)</f>
        <v>#N/A</v>
      </c>
    </row>
    <row r="511" spans="1:10" ht="15" hidden="1" customHeight="1" x14ac:dyDescent="0.3">
      <c r="A511" s="644"/>
      <c r="B511" s="644"/>
      <c r="C511" s="644"/>
      <c r="D511" s="644"/>
      <c r="E511" s="305">
        <f>SUMIF(Adjustments!A:A,A511,Adjustments!C:C)</f>
        <v>0</v>
      </c>
      <c r="F511" s="280">
        <f t="shared" si="7"/>
        <v>0</v>
      </c>
      <c r="G511" s="263" t="e">
        <v>#N/A</v>
      </c>
      <c r="H511" s="266" t="e">
        <f>VLOOKUP('Trial Balance'!$A511,'Code Allocation'!$A:$D,4,0)</f>
        <v>#N/A</v>
      </c>
      <c r="I511" s="267" t="e">
        <f>VLOOKUP('Trial Balance'!$A511,'Code Allocation'!$A:$E,5,0)</f>
        <v>#N/A</v>
      </c>
      <c r="J511" s="268" t="e">
        <f>VLOOKUP('Trial Balance'!$A511,'Code Allocation'!$A:$F,6,0)</f>
        <v>#N/A</v>
      </c>
    </row>
    <row r="512" spans="1:10" ht="15" hidden="1" customHeight="1" x14ac:dyDescent="0.3">
      <c r="A512" s="644"/>
      <c r="B512" s="644"/>
      <c r="C512" s="645"/>
      <c r="D512" s="644"/>
      <c r="E512" s="305">
        <f>SUMIF(Adjustments!A:A,A512,Adjustments!C:C)</f>
        <v>0</v>
      </c>
      <c r="F512" s="280">
        <f t="shared" si="7"/>
        <v>0</v>
      </c>
      <c r="G512" s="263" t="e">
        <v>#N/A</v>
      </c>
      <c r="H512" s="266" t="e">
        <f>VLOOKUP('Trial Balance'!$A512,'Code Allocation'!$A:$D,4,0)</f>
        <v>#N/A</v>
      </c>
      <c r="I512" s="267" t="e">
        <f>VLOOKUP('Trial Balance'!$A512,'Code Allocation'!$A:$E,5,0)</f>
        <v>#N/A</v>
      </c>
      <c r="J512" s="268" t="e">
        <f>VLOOKUP('Trial Balance'!$A512,'Code Allocation'!$A:$F,6,0)</f>
        <v>#N/A</v>
      </c>
    </row>
    <row r="513" spans="1:10" ht="15" hidden="1" customHeight="1" x14ac:dyDescent="0.3">
      <c r="A513" s="644"/>
      <c r="B513" s="644"/>
      <c r="C513" s="644"/>
      <c r="D513" s="644"/>
      <c r="E513" s="305">
        <f>SUMIF(Adjustments!A:A,A513,Adjustments!C:C)</f>
        <v>0</v>
      </c>
      <c r="F513" s="280">
        <f t="shared" si="7"/>
        <v>0</v>
      </c>
      <c r="G513" s="263" t="e">
        <v>#N/A</v>
      </c>
      <c r="H513" s="266" t="e">
        <f>VLOOKUP('Trial Balance'!$A513,'Code Allocation'!$A:$D,4,0)</f>
        <v>#N/A</v>
      </c>
      <c r="I513" s="267" t="e">
        <f>VLOOKUP('Trial Balance'!$A513,'Code Allocation'!$A:$E,5,0)</f>
        <v>#N/A</v>
      </c>
      <c r="J513" s="268" t="e">
        <f>VLOOKUP('Trial Balance'!$A513,'Code Allocation'!$A:$F,6,0)</f>
        <v>#N/A</v>
      </c>
    </row>
    <row r="514" spans="1:10" ht="15" hidden="1" customHeight="1" x14ac:dyDescent="0.3">
      <c r="A514" s="644"/>
      <c r="B514" s="644"/>
      <c r="C514" s="645"/>
      <c r="D514" s="644"/>
      <c r="E514" s="305">
        <f>SUMIF(Adjustments!A:A,A514,Adjustments!C:C)</f>
        <v>0</v>
      </c>
      <c r="F514" s="280">
        <f t="shared" si="7"/>
        <v>0</v>
      </c>
      <c r="G514" s="263" t="e">
        <v>#N/A</v>
      </c>
      <c r="H514" s="266" t="e">
        <f>VLOOKUP('Trial Balance'!$A514,'Code Allocation'!$A:$D,4,0)</f>
        <v>#N/A</v>
      </c>
      <c r="I514" s="267" t="e">
        <f>VLOOKUP('Trial Balance'!$A514,'Code Allocation'!$A:$E,5,0)</f>
        <v>#N/A</v>
      </c>
      <c r="J514" s="268" t="e">
        <f>VLOOKUP('Trial Balance'!$A514,'Code Allocation'!$A:$F,6,0)</f>
        <v>#N/A</v>
      </c>
    </row>
    <row r="515" spans="1:10" ht="15" hidden="1" customHeight="1" x14ac:dyDescent="0.3">
      <c r="A515" s="644"/>
      <c r="B515" s="644"/>
      <c r="C515" s="644"/>
      <c r="D515" s="644"/>
      <c r="E515" s="305">
        <f>SUMIF(Adjustments!A:A,A515,Adjustments!C:C)</f>
        <v>0</v>
      </c>
      <c r="F515" s="280">
        <f t="shared" si="7"/>
        <v>0</v>
      </c>
      <c r="G515" s="263" t="e">
        <v>#N/A</v>
      </c>
      <c r="H515" s="266" t="e">
        <f>VLOOKUP('Trial Balance'!$A515,'Code Allocation'!$A:$D,4,0)</f>
        <v>#N/A</v>
      </c>
      <c r="I515" s="267" t="e">
        <f>VLOOKUP('Trial Balance'!$A515,'Code Allocation'!$A:$E,5,0)</f>
        <v>#N/A</v>
      </c>
      <c r="J515" s="268" t="e">
        <f>VLOOKUP('Trial Balance'!$A515,'Code Allocation'!$A:$F,6,0)</f>
        <v>#N/A</v>
      </c>
    </row>
    <row r="516" spans="1:10" ht="15" hidden="1" customHeight="1" x14ac:dyDescent="0.3">
      <c r="A516" s="644"/>
      <c r="B516" s="644"/>
      <c r="C516" s="644"/>
      <c r="D516" s="644"/>
      <c r="E516" s="305">
        <f>SUMIF(Adjustments!A:A,A516,Adjustments!C:C)</f>
        <v>0</v>
      </c>
      <c r="F516" s="280">
        <f t="shared" si="7"/>
        <v>0</v>
      </c>
      <c r="G516" s="263" t="e">
        <v>#N/A</v>
      </c>
      <c r="H516" s="266" t="e">
        <f>VLOOKUP('Trial Balance'!$A516,'Code Allocation'!$A:$D,4,0)</f>
        <v>#N/A</v>
      </c>
      <c r="I516" s="267" t="e">
        <f>VLOOKUP('Trial Balance'!$A516,'Code Allocation'!$A:$E,5,0)</f>
        <v>#N/A</v>
      </c>
      <c r="J516" s="268" t="e">
        <f>VLOOKUP('Trial Balance'!$A516,'Code Allocation'!$A:$F,6,0)</f>
        <v>#N/A</v>
      </c>
    </row>
    <row r="517" spans="1:10" ht="15" hidden="1" customHeight="1" x14ac:dyDescent="0.3">
      <c r="A517" s="644"/>
      <c r="B517" s="644"/>
      <c r="C517" s="644"/>
      <c r="D517" s="644"/>
      <c r="E517" s="305">
        <f>SUMIF(Adjustments!A:A,A517,Adjustments!C:C)</f>
        <v>0</v>
      </c>
      <c r="F517" s="280">
        <f t="shared" si="7"/>
        <v>0</v>
      </c>
      <c r="G517" s="263" t="e">
        <v>#N/A</v>
      </c>
      <c r="H517" s="266" t="e">
        <f>VLOOKUP('Trial Balance'!$A517,'Code Allocation'!$A:$D,4,0)</f>
        <v>#N/A</v>
      </c>
      <c r="I517" s="267" t="e">
        <f>VLOOKUP('Trial Balance'!$A517,'Code Allocation'!$A:$E,5,0)</f>
        <v>#N/A</v>
      </c>
      <c r="J517" s="268" t="e">
        <f>VLOOKUP('Trial Balance'!$A517,'Code Allocation'!$A:$F,6,0)</f>
        <v>#N/A</v>
      </c>
    </row>
    <row r="518" spans="1:10" ht="15" hidden="1" customHeight="1" x14ac:dyDescent="0.3">
      <c r="A518" s="644"/>
      <c r="B518" s="644"/>
      <c r="C518" s="644"/>
      <c r="D518" s="644"/>
      <c r="E518" s="305">
        <f>SUMIF(Adjustments!A:A,A518,Adjustments!C:C)</f>
        <v>0</v>
      </c>
      <c r="F518" s="280">
        <f t="shared" si="7"/>
        <v>0</v>
      </c>
      <c r="G518" s="263" t="e">
        <v>#N/A</v>
      </c>
      <c r="H518" s="266" t="e">
        <f>VLOOKUP('Trial Balance'!$A518,'Code Allocation'!$A:$D,4,0)</f>
        <v>#N/A</v>
      </c>
      <c r="I518" s="267" t="e">
        <f>VLOOKUP('Trial Balance'!$A518,'Code Allocation'!$A:$E,5,0)</f>
        <v>#N/A</v>
      </c>
      <c r="J518" s="268" t="e">
        <f>VLOOKUP('Trial Balance'!$A518,'Code Allocation'!$A:$F,6,0)</f>
        <v>#N/A</v>
      </c>
    </row>
    <row r="519" spans="1:10" ht="15" hidden="1" customHeight="1" x14ac:dyDescent="0.3">
      <c r="A519" s="644"/>
      <c r="B519" s="644"/>
      <c r="C519" s="644"/>
      <c r="D519" s="644"/>
      <c r="E519" s="305">
        <f>SUMIF(Adjustments!A:A,A519,Adjustments!C:C)</f>
        <v>0</v>
      </c>
      <c r="F519" s="280">
        <f t="shared" si="7"/>
        <v>0</v>
      </c>
      <c r="G519" s="263" t="e">
        <v>#N/A</v>
      </c>
      <c r="H519" s="266" t="e">
        <f>VLOOKUP('Trial Balance'!$A519,'Code Allocation'!$A:$D,4,0)</f>
        <v>#N/A</v>
      </c>
      <c r="I519" s="267" t="e">
        <f>VLOOKUP('Trial Balance'!$A519,'Code Allocation'!$A:$E,5,0)</f>
        <v>#N/A</v>
      </c>
      <c r="J519" s="268" t="e">
        <f>VLOOKUP('Trial Balance'!$A519,'Code Allocation'!$A:$F,6,0)</f>
        <v>#N/A</v>
      </c>
    </row>
    <row r="520" spans="1:10" ht="15" hidden="1" customHeight="1" x14ac:dyDescent="0.3">
      <c r="A520" s="644"/>
      <c r="B520" s="644"/>
      <c r="C520" s="644"/>
      <c r="D520" s="644"/>
      <c r="E520" s="305">
        <f>SUMIF(Adjustments!A:A,A520,Adjustments!C:C)</f>
        <v>0</v>
      </c>
      <c r="F520" s="280">
        <f t="shared" si="7"/>
        <v>0</v>
      </c>
      <c r="G520" s="263" t="e">
        <v>#N/A</v>
      </c>
      <c r="H520" s="266" t="e">
        <f>VLOOKUP('Trial Balance'!$A520,'Code Allocation'!$A:$D,4,0)</f>
        <v>#N/A</v>
      </c>
      <c r="I520" s="267" t="e">
        <f>VLOOKUP('Trial Balance'!$A520,'Code Allocation'!$A:$E,5,0)</f>
        <v>#N/A</v>
      </c>
      <c r="J520" s="268" t="e">
        <f>VLOOKUP('Trial Balance'!$A520,'Code Allocation'!$A:$F,6,0)</f>
        <v>#N/A</v>
      </c>
    </row>
    <row r="521" spans="1:10" ht="15" hidden="1" customHeight="1" x14ac:dyDescent="0.3">
      <c r="A521" s="644"/>
      <c r="B521" s="644"/>
      <c r="C521" s="644"/>
      <c r="D521" s="644"/>
      <c r="E521" s="305">
        <f>SUMIF(Adjustments!A:A,A521,Adjustments!C:C)</f>
        <v>0</v>
      </c>
      <c r="F521" s="280">
        <f t="shared" si="7"/>
        <v>0</v>
      </c>
      <c r="G521" s="263" t="e">
        <v>#N/A</v>
      </c>
      <c r="H521" s="266" t="e">
        <f>VLOOKUP('Trial Balance'!$A521,'Code Allocation'!$A:$D,4,0)</f>
        <v>#N/A</v>
      </c>
      <c r="I521" s="267" t="e">
        <f>VLOOKUP('Trial Balance'!$A521,'Code Allocation'!$A:$E,5,0)</f>
        <v>#N/A</v>
      </c>
      <c r="J521" s="268" t="e">
        <f>VLOOKUP('Trial Balance'!$A521,'Code Allocation'!$A:$F,6,0)</f>
        <v>#N/A</v>
      </c>
    </row>
    <row r="522" spans="1:10" ht="15" hidden="1" customHeight="1" x14ac:dyDescent="0.3">
      <c r="A522" s="644"/>
      <c r="B522" s="644"/>
      <c r="C522" s="644"/>
      <c r="D522" s="644"/>
      <c r="E522" s="305">
        <f>SUMIF(Adjustments!A:A,A522,Adjustments!C:C)</f>
        <v>0</v>
      </c>
      <c r="F522" s="280">
        <f t="shared" si="7"/>
        <v>0</v>
      </c>
      <c r="G522" s="263" t="e">
        <v>#N/A</v>
      </c>
      <c r="H522" s="266" t="e">
        <f>VLOOKUP('Trial Balance'!$A522,'Code Allocation'!$A:$D,4,0)</f>
        <v>#N/A</v>
      </c>
      <c r="I522" s="267" t="e">
        <f>VLOOKUP('Trial Balance'!$A522,'Code Allocation'!$A:$E,5,0)</f>
        <v>#N/A</v>
      </c>
      <c r="J522" s="268" t="e">
        <f>VLOOKUP('Trial Balance'!$A522,'Code Allocation'!$A:$F,6,0)</f>
        <v>#N/A</v>
      </c>
    </row>
    <row r="523" spans="1:10" ht="15" hidden="1" customHeight="1" x14ac:dyDescent="0.3">
      <c r="A523" s="644"/>
      <c r="B523" s="644"/>
      <c r="C523" s="644"/>
      <c r="D523" s="644"/>
      <c r="E523" s="305">
        <f>SUMIF(Adjustments!A:A,A523,Adjustments!C:C)</f>
        <v>0</v>
      </c>
      <c r="F523" s="280">
        <f t="shared" si="7"/>
        <v>0</v>
      </c>
      <c r="G523" s="263" t="e">
        <v>#N/A</v>
      </c>
      <c r="H523" s="266" t="e">
        <f>VLOOKUP('Trial Balance'!$A523,'Code Allocation'!$A:$D,4,0)</f>
        <v>#N/A</v>
      </c>
      <c r="I523" s="267" t="e">
        <f>VLOOKUP('Trial Balance'!$A523,'Code Allocation'!$A:$E,5,0)</f>
        <v>#N/A</v>
      </c>
      <c r="J523" s="268" t="e">
        <f>VLOOKUP('Trial Balance'!$A523,'Code Allocation'!$A:$F,6,0)</f>
        <v>#N/A</v>
      </c>
    </row>
    <row r="524" spans="1:10" ht="15" hidden="1" customHeight="1" x14ac:dyDescent="0.3">
      <c r="A524" s="644"/>
      <c r="B524" s="644"/>
      <c r="C524" s="644"/>
      <c r="D524" s="644"/>
      <c r="E524" s="305">
        <f>SUMIF(Adjustments!A:A,A524,Adjustments!C:C)</f>
        <v>0</v>
      </c>
      <c r="F524" s="280">
        <f t="shared" si="7"/>
        <v>0</v>
      </c>
      <c r="G524" s="263" t="e">
        <v>#N/A</v>
      </c>
      <c r="H524" s="266" t="e">
        <f>VLOOKUP('Trial Balance'!$A524,'Code Allocation'!$A:$D,4,0)</f>
        <v>#N/A</v>
      </c>
      <c r="I524" s="267" t="e">
        <f>VLOOKUP('Trial Balance'!$A524,'Code Allocation'!$A:$E,5,0)</f>
        <v>#N/A</v>
      </c>
      <c r="J524" s="268" t="e">
        <f>VLOOKUP('Trial Balance'!$A524,'Code Allocation'!$A:$F,6,0)</f>
        <v>#N/A</v>
      </c>
    </row>
    <row r="525" spans="1:10" ht="15" hidden="1" customHeight="1" x14ac:dyDescent="0.3">
      <c r="A525" s="644"/>
      <c r="B525" s="644"/>
      <c r="C525" s="644"/>
      <c r="D525" s="644"/>
      <c r="E525" s="305">
        <f>SUMIF(Adjustments!A:A,A525,Adjustments!C:C)</f>
        <v>0</v>
      </c>
      <c r="F525" s="280">
        <f t="shared" si="7"/>
        <v>0</v>
      </c>
      <c r="G525" s="263" t="e">
        <v>#N/A</v>
      </c>
      <c r="H525" s="266" t="e">
        <f>VLOOKUP('Trial Balance'!$A525,'Code Allocation'!$A:$D,4,0)</f>
        <v>#N/A</v>
      </c>
      <c r="I525" s="267" t="e">
        <f>VLOOKUP('Trial Balance'!$A525,'Code Allocation'!$A:$E,5,0)</f>
        <v>#N/A</v>
      </c>
      <c r="J525" s="268" t="e">
        <f>VLOOKUP('Trial Balance'!$A525,'Code Allocation'!$A:$F,6,0)</f>
        <v>#N/A</v>
      </c>
    </row>
    <row r="526" spans="1:10" ht="15" hidden="1" customHeight="1" x14ac:dyDescent="0.25">
      <c r="A526" s="644"/>
      <c r="B526" s="644"/>
      <c r="C526" s="644"/>
      <c r="D526" s="644"/>
      <c r="E526" s="305">
        <f>SUMIF(Adjustments!A:A,A526,Adjustments!C:C)</f>
        <v>0</v>
      </c>
      <c r="F526" s="278">
        <f t="shared" si="7"/>
        <v>0</v>
      </c>
      <c r="G526" s="263" t="e">
        <v>#N/A</v>
      </c>
      <c r="H526" s="266" t="e">
        <f>VLOOKUP('Trial Balance'!$A526,'Code Allocation'!$A:$D,4,0)</f>
        <v>#N/A</v>
      </c>
      <c r="I526" s="267" t="e">
        <f>VLOOKUP('Trial Balance'!$A526,'Code Allocation'!$A:$E,5,0)</f>
        <v>#N/A</v>
      </c>
      <c r="J526" s="268" t="e">
        <f>VLOOKUP('Trial Balance'!$A526,'Code Allocation'!$A:$F,6,0)</f>
        <v>#N/A</v>
      </c>
    </row>
    <row r="527" spans="1:10" ht="15" hidden="1" customHeight="1" x14ac:dyDescent="0.3">
      <c r="A527" s="644"/>
      <c r="B527" s="644"/>
      <c r="C527" s="644"/>
      <c r="D527" s="644"/>
      <c r="E527" s="305">
        <f>SUMIF(Adjustments!A:A,A527,Adjustments!C:C)</f>
        <v>0</v>
      </c>
      <c r="F527" s="280">
        <f t="shared" si="7"/>
        <v>0</v>
      </c>
      <c r="G527" s="263" t="e">
        <v>#N/A</v>
      </c>
      <c r="H527" s="266" t="e">
        <f>VLOOKUP('Trial Balance'!$A527,'Code Allocation'!$A:$D,4,0)</f>
        <v>#N/A</v>
      </c>
      <c r="I527" s="267" t="e">
        <f>VLOOKUP('Trial Balance'!$A527,'Code Allocation'!$A:$E,5,0)</f>
        <v>#N/A</v>
      </c>
      <c r="J527" s="268" t="e">
        <f>VLOOKUP('Trial Balance'!$A527,'Code Allocation'!$A:$F,6,0)</f>
        <v>#N/A</v>
      </c>
    </row>
    <row r="528" spans="1:10" ht="15" hidden="1" customHeight="1" x14ac:dyDescent="0.3">
      <c r="A528" s="644"/>
      <c r="B528" s="644"/>
      <c r="C528" s="644"/>
      <c r="D528" s="644"/>
      <c r="E528" s="305">
        <f>SUMIF(Adjustments!A:A,A528,Adjustments!C:C)</f>
        <v>0</v>
      </c>
      <c r="F528" s="280">
        <f t="shared" si="7"/>
        <v>0</v>
      </c>
      <c r="G528" s="263" t="e">
        <v>#N/A</v>
      </c>
      <c r="H528" s="266" t="e">
        <f>VLOOKUP('Trial Balance'!$A528,'Code Allocation'!$A:$D,4,0)</f>
        <v>#N/A</v>
      </c>
      <c r="I528" s="267" t="e">
        <f>VLOOKUP('Trial Balance'!$A528,'Code Allocation'!$A:$E,5,0)</f>
        <v>#N/A</v>
      </c>
      <c r="J528" s="268" t="e">
        <f>VLOOKUP('Trial Balance'!$A528,'Code Allocation'!$A:$F,6,0)</f>
        <v>#N/A</v>
      </c>
    </row>
    <row r="529" spans="1:10" ht="15" hidden="1" customHeight="1" x14ac:dyDescent="0.3">
      <c r="A529" s="644"/>
      <c r="B529" s="644"/>
      <c r="C529" s="644"/>
      <c r="D529" s="644"/>
      <c r="E529" s="305">
        <f>SUMIF(Adjustments!A:A,A529,Adjustments!C:C)</f>
        <v>0</v>
      </c>
      <c r="F529" s="280">
        <f t="shared" si="7"/>
        <v>0</v>
      </c>
      <c r="G529" s="263" t="e">
        <v>#N/A</v>
      </c>
      <c r="H529" s="266" t="e">
        <f>VLOOKUP('Trial Balance'!$A529,'Code Allocation'!$A:$D,4,0)</f>
        <v>#N/A</v>
      </c>
      <c r="I529" s="267" t="e">
        <f>VLOOKUP('Trial Balance'!$A529,'Code Allocation'!$A:$E,5,0)</f>
        <v>#N/A</v>
      </c>
      <c r="J529" s="268" t="e">
        <f>VLOOKUP('Trial Balance'!$A529,'Code Allocation'!$A:$F,6,0)</f>
        <v>#N/A</v>
      </c>
    </row>
    <row r="530" spans="1:10" ht="15" hidden="1" customHeight="1" x14ac:dyDescent="0.3">
      <c r="A530" s="644"/>
      <c r="B530" s="644"/>
      <c r="C530" s="644"/>
      <c r="D530" s="644"/>
      <c r="E530" s="305">
        <f>SUMIF(Adjustments!A:A,A530,Adjustments!C:C)</f>
        <v>0</v>
      </c>
      <c r="F530" s="280">
        <f t="shared" si="7"/>
        <v>0</v>
      </c>
      <c r="G530" s="263" t="e">
        <v>#N/A</v>
      </c>
      <c r="H530" s="266" t="e">
        <f>VLOOKUP('Trial Balance'!$A530,'Code Allocation'!$A:$D,4,0)</f>
        <v>#N/A</v>
      </c>
      <c r="I530" s="267" t="e">
        <f>VLOOKUP('Trial Balance'!$A530,'Code Allocation'!$A:$E,5,0)</f>
        <v>#N/A</v>
      </c>
      <c r="J530" s="268" t="e">
        <f>VLOOKUP('Trial Balance'!$A530,'Code Allocation'!$A:$F,6,0)</f>
        <v>#N/A</v>
      </c>
    </row>
    <row r="531" spans="1:10" ht="15" hidden="1" customHeight="1" x14ac:dyDescent="0.3">
      <c r="A531" s="644"/>
      <c r="B531" s="644"/>
      <c r="C531" s="645"/>
      <c r="D531" s="644"/>
      <c r="E531" s="305">
        <f>SUMIF(Adjustments!A:A,A531,Adjustments!C:C)</f>
        <v>0</v>
      </c>
      <c r="F531" s="280">
        <f t="shared" si="7"/>
        <v>0</v>
      </c>
      <c r="G531" s="263" t="e">
        <v>#N/A</v>
      </c>
      <c r="H531" s="266" t="e">
        <f>VLOOKUP('Trial Balance'!$A531,'Code Allocation'!$A:$D,4,0)</f>
        <v>#N/A</v>
      </c>
      <c r="I531" s="267" t="e">
        <f>VLOOKUP('Trial Balance'!$A531,'Code Allocation'!$A:$E,5,0)</f>
        <v>#N/A</v>
      </c>
      <c r="J531" s="268" t="e">
        <f>VLOOKUP('Trial Balance'!$A531,'Code Allocation'!$A:$F,6,0)</f>
        <v>#N/A</v>
      </c>
    </row>
    <row r="532" spans="1:10" ht="15" hidden="1" customHeight="1" x14ac:dyDescent="0.3">
      <c r="A532" s="644"/>
      <c r="B532" s="644"/>
      <c r="C532" s="644"/>
      <c r="D532" s="644"/>
      <c r="E532" s="305">
        <f>SUMIF(Adjustments!A:A,A532,Adjustments!C:C)</f>
        <v>0</v>
      </c>
      <c r="F532" s="280">
        <f t="shared" si="7"/>
        <v>0</v>
      </c>
      <c r="G532" s="263" t="e">
        <v>#N/A</v>
      </c>
      <c r="H532" s="266" t="e">
        <f>VLOOKUP('Trial Balance'!$A532,'Code Allocation'!$A:$D,4,0)</f>
        <v>#N/A</v>
      </c>
      <c r="I532" s="267" t="e">
        <f>VLOOKUP('Trial Balance'!$A532,'Code Allocation'!$A:$E,5,0)</f>
        <v>#N/A</v>
      </c>
      <c r="J532" s="268" t="e">
        <f>VLOOKUP('Trial Balance'!$A532,'Code Allocation'!$A:$F,6,0)</f>
        <v>#N/A</v>
      </c>
    </row>
    <row r="533" spans="1:10" ht="15" hidden="1" customHeight="1" x14ac:dyDescent="0.3">
      <c r="A533" s="644"/>
      <c r="B533" s="644"/>
      <c r="C533" s="644"/>
      <c r="D533" s="644"/>
      <c r="E533" s="305">
        <f>SUMIF(Adjustments!A:A,A533,Adjustments!C:C)</f>
        <v>0</v>
      </c>
      <c r="F533" s="280">
        <f t="shared" si="7"/>
        <v>0</v>
      </c>
      <c r="G533" s="263" t="e">
        <v>#N/A</v>
      </c>
      <c r="H533" s="266" t="e">
        <f>VLOOKUP('Trial Balance'!$A533,'Code Allocation'!$A:$D,4,0)</f>
        <v>#N/A</v>
      </c>
      <c r="I533" s="267" t="e">
        <f>VLOOKUP('Trial Balance'!$A533,'Code Allocation'!$A:$E,5,0)</f>
        <v>#N/A</v>
      </c>
      <c r="J533" s="268" t="e">
        <f>VLOOKUP('Trial Balance'!$A533,'Code Allocation'!$A:$F,6,0)</f>
        <v>#N/A</v>
      </c>
    </row>
    <row r="534" spans="1:10" ht="15" hidden="1" customHeight="1" x14ac:dyDescent="0.25">
      <c r="A534" s="644"/>
      <c r="B534" s="644"/>
      <c r="C534" s="644"/>
      <c r="D534" s="644"/>
      <c r="E534" s="305">
        <f>SUMIF(Adjustments!A:A,A534,Adjustments!C:C)</f>
        <v>0</v>
      </c>
      <c r="F534" s="278">
        <f t="shared" si="7"/>
        <v>0</v>
      </c>
      <c r="G534" s="263" t="e">
        <v>#N/A</v>
      </c>
      <c r="H534" s="266" t="e">
        <f>VLOOKUP('Trial Balance'!$A534,'Code Allocation'!$A:$D,4,0)</f>
        <v>#N/A</v>
      </c>
      <c r="I534" s="267" t="e">
        <f>VLOOKUP('Trial Balance'!$A534,'Code Allocation'!$A:$E,5,0)</f>
        <v>#N/A</v>
      </c>
      <c r="J534" s="268" t="e">
        <f>VLOOKUP('Trial Balance'!$A534,'Code Allocation'!$A:$F,6,0)</f>
        <v>#N/A</v>
      </c>
    </row>
    <row r="535" spans="1:10" ht="15" hidden="1" customHeight="1" x14ac:dyDescent="0.3">
      <c r="A535" s="644"/>
      <c r="B535" s="644"/>
      <c r="C535" s="644"/>
      <c r="D535" s="644"/>
      <c r="E535" s="305">
        <f>SUMIF(Adjustments!A:A,A535,Adjustments!C:C)</f>
        <v>0</v>
      </c>
      <c r="F535" s="280">
        <f t="shared" si="7"/>
        <v>0</v>
      </c>
      <c r="G535" s="263" t="e">
        <v>#N/A</v>
      </c>
      <c r="H535" s="266" t="e">
        <f>VLOOKUP('Trial Balance'!$A535,'Code Allocation'!$A:$D,4,0)</f>
        <v>#N/A</v>
      </c>
      <c r="I535" s="267" t="e">
        <f>VLOOKUP('Trial Balance'!$A535,'Code Allocation'!$A:$E,5,0)</f>
        <v>#N/A</v>
      </c>
      <c r="J535" s="268" t="e">
        <f>VLOOKUP('Trial Balance'!$A535,'Code Allocation'!$A:$F,6,0)</f>
        <v>#N/A</v>
      </c>
    </row>
    <row r="536" spans="1:10" ht="15" hidden="1" customHeight="1" x14ac:dyDescent="0.3">
      <c r="A536" s="644"/>
      <c r="B536" s="644"/>
      <c r="C536" s="644"/>
      <c r="D536" s="644"/>
      <c r="E536" s="305">
        <f>SUMIF(Adjustments!A:A,A536,Adjustments!C:C)</f>
        <v>0</v>
      </c>
      <c r="F536" s="280">
        <f t="shared" si="7"/>
        <v>0</v>
      </c>
      <c r="G536" s="263" t="e">
        <v>#N/A</v>
      </c>
      <c r="H536" s="266" t="e">
        <f>VLOOKUP('Trial Balance'!$A536,'Code Allocation'!$A:$D,4,0)</f>
        <v>#N/A</v>
      </c>
      <c r="I536" s="267" t="e">
        <f>VLOOKUP('Trial Balance'!$A536,'Code Allocation'!$A:$E,5,0)</f>
        <v>#N/A</v>
      </c>
      <c r="J536" s="268" t="e">
        <f>VLOOKUP('Trial Balance'!$A536,'Code Allocation'!$A:$F,6,0)</f>
        <v>#N/A</v>
      </c>
    </row>
    <row r="537" spans="1:10" ht="15" hidden="1" customHeight="1" x14ac:dyDescent="0.3">
      <c r="A537" s="644"/>
      <c r="B537" s="644"/>
      <c r="C537" s="644"/>
      <c r="D537" s="644"/>
      <c r="E537" s="305">
        <f>SUMIF(Adjustments!A:A,A537,Adjustments!C:C)</f>
        <v>0</v>
      </c>
      <c r="F537" s="280">
        <f t="shared" si="7"/>
        <v>0</v>
      </c>
      <c r="G537" s="263" t="e">
        <v>#N/A</v>
      </c>
      <c r="H537" s="266" t="e">
        <f>VLOOKUP('Trial Balance'!$A537,'Code Allocation'!$A:$D,4,0)</f>
        <v>#N/A</v>
      </c>
      <c r="I537" s="267" t="e">
        <f>VLOOKUP('Trial Balance'!$A537,'Code Allocation'!$A:$E,5,0)</f>
        <v>#N/A</v>
      </c>
      <c r="J537" s="268" t="e">
        <f>VLOOKUP('Trial Balance'!$A537,'Code Allocation'!$A:$F,6,0)</f>
        <v>#N/A</v>
      </c>
    </row>
    <row r="538" spans="1:10" ht="15" hidden="1" customHeight="1" x14ac:dyDescent="0.3">
      <c r="A538" s="644"/>
      <c r="B538" s="644"/>
      <c r="C538" s="644"/>
      <c r="D538" s="644"/>
      <c r="E538" s="305">
        <f>SUMIF(Adjustments!A:A,A538,Adjustments!C:C)</f>
        <v>0</v>
      </c>
      <c r="F538" s="280">
        <f t="shared" si="7"/>
        <v>0</v>
      </c>
      <c r="G538" s="263" t="e">
        <v>#N/A</v>
      </c>
      <c r="H538" s="266" t="e">
        <f>VLOOKUP('Trial Balance'!$A538,'Code Allocation'!$A:$D,4,0)</f>
        <v>#N/A</v>
      </c>
      <c r="I538" s="267" t="e">
        <f>VLOOKUP('Trial Balance'!$A538,'Code Allocation'!$A:$E,5,0)</f>
        <v>#N/A</v>
      </c>
      <c r="J538" s="268" t="e">
        <f>VLOOKUP('Trial Balance'!$A538,'Code Allocation'!$A:$F,6,0)</f>
        <v>#N/A</v>
      </c>
    </row>
    <row r="539" spans="1:10" ht="15" hidden="1" customHeight="1" x14ac:dyDescent="0.3">
      <c r="A539" s="644"/>
      <c r="B539" s="644"/>
      <c r="C539" s="644"/>
      <c r="D539" s="644"/>
      <c r="E539" s="305">
        <f>SUMIF(Adjustments!A:A,A539,Adjustments!C:C)</f>
        <v>0</v>
      </c>
      <c r="F539" s="280">
        <f t="shared" si="7"/>
        <v>0</v>
      </c>
      <c r="G539" s="263" t="e">
        <v>#N/A</v>
      </c>
      <c r="H539" s="266" t="e">
        <f>VLOOKUP('Trial Balance'!$A539,'Code Allocation'!$A:$D,4,0)</f>
        <v>#N/A</v>
      </c>
      <c r="I539" s="267" t="e">
        <f>VLOOKUP('Trial Balance'!$A539,'Code Allocation'!$A:$E,5,0)</f>
        <v>#N/A</v>
      </c>
      <c r="J539" s="268" t="e">
        <f>VLOOKUP('Trial Balance'!$A539,'Code Allocation'!$A:$F,6,0)</f>
        <v>#N/A</v>
      </c>
    </row>
    <row r="540" spans="1:10" ht="15" hidden="1" customHeight="1" x14ac:dyDescent="0.3">
      <c r="A540" s="644"/>
      <c r="B540" s="644"/>
      <c r="C540" s="644"/>
      <c r="D540" s="644"/>
      <c r="E540" s="305">
        <f>SUMIF(Adjustments!A:A,A540,Adjustments!C:C)</f>
        <v>0</v>
      </c>
      <c r="F540" s="280">
        <f t="shared" si="7"/>
        <v>0</v>
      </c>
      <c r="G540" s="263" t="e">
        <v>#N/A</v>
      </c>
      <c r="H540" s="266" t="e">
        <f>VLOOKUP('Trial Balance'!$A540,'Code Allocation'!$A:$D,4,0)</f>
        <v>#N/A</v>
      </c>
      <c r="I540" s="267" t="e">
        <f>VLOOKUP('Trial Balance'!$A540,'Code Allocation'!$A:$E,5,0)</f>
        <v>#N/A</v>
      </c>
      <c r="J540" s="268" t="e">
        <f>VLOOKUP('Trial Balance'!$A540,'Code Allocation'!$A:$F,6,0)</f>
        <v>#N/A</v>
      </c>
    </row>
    <row r="541" spans="1:10" ht="15" hidden="1" customHeight="1" x14ac:dyDescent="0.3">
      <c r="A541" s="644"/>
      <c r="B541" s="644"/>
      <c r="C541" s="644"/>
      <c r="D541" s="644"/>
      <c r="E541" s="305">
        <f>SUMIF(Adjustments!A:A,A541,Adjustments!C:C)</f>
        <v>0</v>
      </c>
      <c r="F541" s="280">
        <f t="shared" si="7"/>
        <v>0</v>
      </c>
      <c r="G541" s="263" t="e">
        <v>#N/A</v>
      </c>
      <c r="H541" s="266" t="e">
        <f>VLOOKUP('Trial Balance'!$A541,'Code Allocation'!$A:$D,4,0)</f>
        <v>#N/A</v>
      </c>
      <c r="I541" s="267" t="e">
        <f>VLOOKUP('Trial Balance'!$A541,'Code Allocation'!$A:$E,5,0)</f>
        <v>#N/A</v>
      </c>
      <c r="J541" s="268" t="e">
        <f>VLOOKUP('Trial Balance'!$A541,'Code Allocation'!$A:$F,6,0)</f>
        <v>#N/A</v>
      </c>
    </row>
    <row r="542" spans="1:10" ht="15" hidden="1" customHeight="1" x14ac:dyDescent="0.25">
      <c r="A542" s="644"/>
      <c r="B542" s="644"/>
      <c r="C542" s="644"/>
      <c r="D542" s="644"/>
      <c r="E542" s="305">
        <f>SUMIF(Adjustments!A:A,A542,Adjustments!C:C)</f>
        <v>0</v>
      </c>
      <c r="F542" s="278">
        <f t="shared" si="7"/>
        <v>0</v>
      </c>
      <c r="G542" s="263" t="e">
        <v>#N/A</v>
      </c>
      <c r="H542" s="266" t="e">
        <f>VLOOKUP('Trial Balance'!$A542,'Code Allocation'!$A:$D,4,0)</f>
        <v>#N/A</v>
      </c>
      <c r="I542" s="267" t="e">
        <f>VLOOKUP('Trial Balance'!$A542,'Code Allocation'!$A:$E,5,0)</f>
        <v>#N/A</v>
      </c>
      <c r="J542" s="268" t="e">
        <f>VLOOKUP('Trial Balance'!$A542,'Code Allocation'!$A:$F,6,0)</f>
        <v>#N/A</v>
      </c>
    </row>
    <row r="543" spans="1:10" ht="15" hidden="1" customHeight="1" x14ac:dyDescent="0.3">
      <c r="A543" s="644"/>
      <c r="B543" s="644"/>
      <c r="C543" s="645"/>
      <c r="D543" s="644"/>
      <c r="E543" s="305">
        <f>SUMIF(Adjustments!A:A,A543,Adjustments!C:C)</f>
        <v>0</v>
      </c>
      <c r="F543" s="280">
        <f t="shared" si="7"/>
        <v>0</v>
      </c>
      <c r="G543" s="263" t="e">
        <v>#N/A</v>
      </c>
      <c r="H543" s="266" t="e">
        <f>VLOOKUP('Trial Balance'!$A543,'Code Allocation'!$A:$D,4,0)</f>
        <v>#N/A</v>
      </c>
      <c r="I543" s="267" t="e">
        <f>VLOOKUP('Trial Balance'!$A543,'Code Allocation'!$A:$E,5,0)</f>
        <v>#N/A</v>
      </c>
      <c r="J543" s="268" t="e">
        <f>VLOOKUP('Trial Balance'!$A543,'Code Allocation'!$A:$F,6,0)</f>
        <v>#N/A</v>
      </c>
    </row>
    <row r="544" spans="1:10" ht="15" hidden="1" customHeight="1" x14ac:dyDescent="0.25">
      <c r="A544" s="644"/>
      <c r="B544" s="644"/>
      <c r="C544" s="644"/>
      <c r="D544" s="644"/>
      <c r="E544" s="305">
        <f>SUMIF(Adjustments!A:A,A544,Adjustments!C:C)</f>
        <v>0</v>
      </c>
      <c r="F544" s="278">
        <f t="shared" si="7"/>
        <v>0</v>
      </c>
      <c r="G544" s="263" t="e">
        <v>#N/A</v>
      </c>
      <c r="H544" s="266" t="e">
        <f>VLOOKUP('Trial Balance'!$A544,'Code Allocation'!$A:$D,4,0)</f>
        <v>#N/A</v>
      </c>
      <c r="I544" s="267" t="e">
        <f>VLOOKUP('Trial Balance'!$A544,'Code Allocation'!$A:$E,5,0)</f>
        <v>#N/A</v>
      </c>
      <c r="J544" s="268" t="e">
        <f>VLOOKUP('Trial Balance'!$A544,'Code Allocation'!$A:$F,6,0)</f>
        <v>#N/A</v>
      </c>
    </row>
    <row r="545" spans="1:10" ht="15" hidden="1" customHeight="1" x14ac:dyDescent="0.25">
      <c r="A545" s="644"/>
      <c r="B545" s="644"/>
      <c r="C545" s="645"/>
      <c r="D545" s="644"/>
      <c r="E545" s="305">
        <f>SUMIF(Adjustments!A:A,A545,Adjustments!C:C)</f>
        <v>0</v>
      </c>
      <c r="F545" s="639">
        <f t="shared" si="7"/>
        <v>0</v>
      </c>
      <c r="G545" s="263" t="e">
        <v>#N/A</v>
      </c>
      <c r="H545" s="266" t="e">
        <f>VLOOKUP('Trial Balance'!$A545,'Code Allocation'!$A:$D,4,0)</f>
        <v>#N/A</v>
      </c>
      <c r="I545" s="267" t="e">
        <f>VLOOKUP('Trial Balance'!$A545,'Code Allocation'!$A:$E,5,0)</f>
        <v>#N/A</v>
      </c>
      <c r="J545" s="268" t="e">
        <f>VLOOKUP('Trial Balance'!$A545,'Code Allocation'!$A:$F,6,0)</f>
        <v>#N/A</v>
      </c>
    </row>
    <row r="546" spans="1:10" ht="15" hidden="1" customHeight="1" x14ac:dyDescent="0.3">
      <c r="A546" s="644"/>
      <c r="B546" s="644"/>
      <c r="C546" s="645"/>
      <c r="D546" s="644"/>
      <c r="E546" s="305">
        <f>SUMIF(Adjustments!A:A,A546,Adjustments!C:C)</f>
        <v>0</v>
      </c>
      <c r="F546" s="280">
        <f t="shared" si="7"/>
        <v>0</v>
      </c>
      <c r="G546" s="263" t="e">
        <v>#N/A</v>
      </c>
      <c r="H546" s="266" t="e">
        <f>VLOOKUP('Trial Balance'!$A546,'Code Allocation'!$A:$D,4,0)</f>
        <v>#N/A</v>
      </c>
      <c r="I546" s="267" t="e">
        <f>VLOOKUP('Trial Balance'!$A546,'Code Allocation'!$A:$E,5,0)</f>
        <v>#N/A</v>
      </c>
      <c r="J546" s="268" t="e">
        <f>VLOOKUP('Trial Balance'!$A546,'Code Allocation'!$A:$F,6,0)</f>
        <v>#N/A</v>
      </c>
    </row>
    <row r="547" spans="1:10" ht="15" hidden="1" customHeight="1" x14ac:dyDescent="0.25">
      <c r="A547" s="644"/>
      <c r="B547" s="644"/>
      <c r="C547" s="644"/>
      <c r="D547" s="644"/>
      <c r="E547" s="305">
        <f>SUMIF(Adjustments!A:A,A547,Adjustments!C:C)</f>
        <v>0</v>
      </c>
      <c r="F547" s="278">
        <f t="shared" si="7"/>
        <v>0</v>
      </c>
      <c r="G547" s="263" t="e">
        <v>#N/A</v>
      </c>
      <c r="H547" s="266" t="e">
        <f>VLOOKUP('Trial Balance'!$A547,'Code Allocation'!$A:$D,4,0)</f>
        <v>#N/A</v>
      </c>
      <c r="I547" s="267" t="e">
        <f>VLOOKUP('Trial Balance'!$A547,'Code Allocation'!$A:$E,5,0)</f>
        <v>#N/A</v>
      </c>
      <c r="J547" s="268" t="e">
        <f>VLOOKUP('Trial Balance'!$A547,'Code Allocation'!$A:$F,6,0)</f>
        <v>#N/A</v>
      </c>
    </row>
    <row r="548" spans="1:10" ht="15" hidden="1" customHeight="1" x14ac:dyDescent="0.3">
      <c r="A548" s="644"/>
      <c r="B548" s="644"/>
      <c r="C548" s="645"/>
      <c r="D548" s="644"/>
      <c r="E548" s="305">
        <f>SUMIF(Adjustments!A:A,A548,Adjustments!C:C)</f>
        <v>0</v>
      </c>
      <c r="F548" s="280">
        <f t="shared" si="7"/>
        <v>0</v>
      </c>
      <c r="G548" s="263" t="e">
        <v>#N/A</v>
      </c>
      <c r="H548" s="266" t="e">
        <f>VLOOKUP('Trial Balance'!$A548,'Code Allocation'!$A:$D,4,0)</f>
        <v>#N/A</v>
      </c>
      <c r="I548" s="267" t="e">
        <f>VLOOKUP('Trial Balance'!$A548,'Code Allocation'!$A:$E,5,0)</f>
        <v>#N/A</v>
      </c>
      <c r="J548" s="268" t="e">
        <f>VLOOKUP('Trial Balance'!$A548,'Code Allocation'!$A:$F,6,0)</f>
        <v>#N/A</v>
      </c>
    </row>
    <row r="549" spans="1:10" ht="15" hidden="1" customHeight="1" x14ac:dyDescent="0.25">
      <c r="A549" s="644"/>
      <c r="B549" s="644"/>
      <c r="C549" s="644"/>
      <c r="D549" s="644"/>
      <c r="E549" s="305">
        <f>SUMIF(Adjustments!A:A,A549,Adjustments!C:C)</f>
        <v>0</v>
      </c>
      <c r="F549" s="278">
        <f t="shared" si="7"/>
        <v>0</v>
      </c>
      <c r="G549" s="263" t="e">
        <v>#N/A</v>
      </c>
      <c r="H549" s="266" t="e">
        <f>VLOOKUP('Trial Balance'!$A549,'Code Allocation'!$A:$D,4,0)</f>
        <v>#N/A</v>
      </c>
      <c r="I549" s="267" t="e">
        <f>VLOOKUP('Trial Balance'!$A549,'Code Allocation'!$A:$E,5,0)</f>
        <v>#N/A</v>
      </c>
      <c r="J549" s="268" t="e">
        <f>VLOOKUP('Trial Balance'!$A549,'Code Allocation'!$A:$F,6,0)</f>
        <v>#N/A</v>
      </c>
    </row>
    <row r="550" spans="1:10" ht="15" hidden="1" customHeight="1" x14ac:dyDescent="0.25">
      <c r="A550" s="644"/>
      <c r="B550" s="644"/>
      <c r="C550" s="644"/>
      <c r="D550" s="644"/>
      <c r="E550" s="305">
        <f>SUMIF(Adjustments!A:A,A550,Adjustments!C:C)</f>
        <v>0</v>
      </c>
      <c r="F550" s="278">
        <f t="shared" si="7"/>
        <v>0</v>
      </c>
      <c r="G550" s="263" t="e">
        <v>#N/A</v>
      </c>
      <c r="H550" s="266" t="e">
        <f>VLOOKUP('Trial Balance'!$A550,'Code Allocation'!$A:$D,4,0)</f>
        <v>#N/A</v>
      </c>
      <c r="I550" s="267" t="e">
        <f>VLOOKUP('Trial Balance'!$A550,'Code Allocation'!$A:$E,5,0)</f>
        <v>#N/A</v>
      </c>
      <c r="J550" s="268" t="e">
        <f>VLOOKUP('Trial Balance'!$A550,'Code Allocation'!$A:$F,6,0)</f>
        <v>#N/A</v>
      </c>
    </row>
    <row r="551" spans="1:10" ht="15" hidden="1" customHeight="1" x14ac:dyDescent="0.3">
      <c r="A551" s="644"/>
      <c r="B551" s="644"/>
      <c r="C551" s="644"/>
      <c r="D551" s="644"/>
      <c r="E551" s="305">
        <f>SUMIF(Adjustments!A:A,A551,Adjustments!C:C)</f>
        <v>0</v>
      </c>
      <c r="F551" s="280">
        <f t="shared" si="7"/>
        <v>0</v>
      </c>
      <c r="G551" s="263" t="e">
        <v>#N/A</v>
      </c>
      <c r="H551" s="266" t="e">
        <f>VLOOKUP('Trial Balance'!$A551,'Code Allocation'!$A:$D,4,0)</f>
        <v>#N/A</v>
      </c>
      <c r="I551" s="267" t="e">
        <f>VLOOKUP('Trial Balance'!$A551,'Code Allocation'!$A:$E,5,0)</f>
        <v>#N/A</v>
      </c>
      <c r="J551" s="268" t="e">
        <f>VLOOKUP('Trial Balance'!$A551,'Code Allocation'!$A:$F,6,0)</f>
        <v>#N/A</v>
      </c>
    </row>
    <row r="552" spans="1:10" ht="15" hidden="1" customHeight="1" x14ac:dyDescent="0.3">
      <c r="A552" s="644"/>
      <c r="B552" s="644"/>
      <c r="C552" s="645"/>
      <c r="D552" s="644"/>
      <c r="E552" s="305">
        <f>SUMIF(Adjustments!A:A,A552,Adjustments!C:C)</f>
        <v>0</v>
      </c>
      <c r="F552" s="280">
        <f t="shared" si="7"/>
        <v>0</v>
      </c>
      <c r="G552" s="263" t="e">
        <v>#N/A</v>
      </c>
      <c r="H552" s="266" t="e">
        <f>VLOOKUP('Trial Balance'!$A552,'Code Allocation'!$A:$D,4,0)</f>
        <v>#N/A</v>
      </c>
      <c r="I552" s="267" t="e">
        <f>VLOOKUP('Trial Balance'!$A552,'Code Allocation'!$A:$E,5,0)</f>
        <v>#N/A</v>
      </c>
      <c r="J552" s="268" t="e">
        <f>VLOOKUP('Trial Balance'!$A552,'Code Allocation'!$A:$F,6,0)</f>
        <v>#N/A</v>
      </c>
    </row>
    <row r="553" spans="1:10" ht="15" hidden="1" customHeight="1" x14ac:dyDescent="0.3">
      <c r="A553" s="644"/>
      <c r="B553" s="644"/>
      <c r="C553" s="644"/>
      <c r="D553" s="644"/>
      <c r="E553" s="305">
        <f>SUMIF(Adjustments!A:A,A553,Adjustments!C:C)</f>
        <v>0</v>
      </c>
      <c r="F553" s="280">
        <f t="shared" si="7"/>
        <v>0</v>
      </c>
      <c r="G553" s="263" t="e">
        <v>#N/A</v>
      </c>
      <c r="H553" s="266" t="e">
        <f>VLOOKUP('Trial Balance'!$A553,'Code Allocation'!$A:$D,4,0)</f>
        <v>#N/A</v>
      </c>
      <c r="I553" s="267" t="e">
        <f>VLOOKUP('Trial Balance'!$A553,'Code Allocation'!$A:$E,5,0)</f>
        <v>#N/A</v>
      </c>
      <c r="J553" s="268" t="e">
        <f>VLOOKUP('Trial Balance'!$A553,'Code Allocation'!$A:$F,6,0)</f>
        <v>#N/A</v>
      </c>
    </row>
    <row r="554" spans="1:10" ht="15" hidden="1" customHeight="1" x14ac:dyDescent="0.3">
      <c r="A554" s="644"/>
      <c r="B554" s="644"/>
      <c r="C554" s="644"/>
      <c r="D554" s="644"/>
      <c r="E554" s="305">
        <f>SUMIF(Adjustments!A:A,A554,Adjustments!C:C)</f>
        <v>0</v>
      </c>
      <c r="F554" s="280">
        <f t="shared" si="7"/>
        <v>0</v>
      </c>
      <c r="G554" s="263" t="e">
        <v>#N/A</v>
      </c>
      <c r="H554" s="266" t="e">
        <f>VLOOKUP('Trial Balance'!$A554,'Code Allocation'!$A:$D,4,0)</f>
        <v>#N/A</v>
      </c>
      <c r="I554" s="267" t="e">
        <f>VLOOKUP('Trial Balance'!$A554,'Code Allocation'!$A:$E,5,0)</f>
        <v>#N/A</v>
      </c>
      <c r="J554" s="268" t="e">
        <f>VLOOKUP('Trial Balance'!$A554,'Code Allocation'!$A:$F,6,0)</f>
        <v>#N/A</v>
      </c>
    </row>
    <row r="555" spans="1:10" ht="15" hidden="1" customHeight="1" x14ac:dyDescent="0.3">
      <c r="A555" s="644"/>
      <c r="B555" s="644"/>
      <c r="C555" s="645"/>
      <c r="D555" s="644"/>
      <c r="E555" s="305">
        <f>SUMIF(Adjustments!A:A,A555,Adjustments!C:C)</f>
        <v>0</v>
      </c>
      <c r="F555" s="280">
        <f t="shared" si="7"/>
        <v>0</v>
      </c>
      <c r="G555" s="263" t="e">
        <v>#N/A</v>
      </c>
      <c r="H555" s="266" t="e">
        <f>VLOOKUP('Trial Balance'!$A555,'Code Allocation'!$A:$D,4,0)</f>
        <v>#N/A</v>
      </c>
      <c r="I555" s="267" t="e">
        <f>VLOOKUP('Trial Balance'!$A555,'Code Allocation'!$A:$E,5,0)</f>
        <v>#N/A</v>
      </c>
      <c r="J555" s="268" t="e">
        <f>VLOOKUP('Trial Balance'!$A555,'Code Allocation'!$A:$F,6,0)</f>
        <v>#N/A</v>
      </c>
    </row>
    <row r="556" spans="1:10" ht="15" hidden="1" customHeight="1" x14ac:dyDescent="0.25">
      <c r="A556" s="644"/>
      <c r="B556" s="644"/>
      <c r="C556" s="644"/>
      <c r="D556" s="644"/>
      <c r="E556" s="305">
        <f>SUMIF(Adjustments!A:A,A556,Adjustments!C:C)</f>
        <v>0</v>
      </c>
      <c r="F556" s="278">
        <f t="shared" ref="F556:F619" si="8">C556-D556+E556</f>
        <v>0</v>
      </c>
      <c r="G556" s="263" t="e">
        <v>#N/A</v>
      </c>
      <c r="H556" s="266" t="e">
        <f>VLOOKUP('Trial Balance'!$A556,'Code Allocation'!$A:$D,4,0)</f>
        <v>#N/A</v>
      </c>
      <c r="I556" s="267" t="e">
        <f>VLOOKUP('Trial Balance'!$A556,'Code Allocation'!$A:$E,5,0)</f>
        <v>#N/A</v>
      </c>
      <c r="J556" s="268" t="e">
        <f>VLOOKUP('Trial Balance'!$A556,'Code Allocation'!$A:$F,6,0)</f>
        <v>#N/A</v>
      </c>
    </row>
    <row r="557" spans="1:10" ht="15" hidden="1" customHeight="1" x14ac:dyDescent="0.3">
      <c r="A557" s="644"/>
      <c r="B557" s="644"/>
      <c r="C557" s="645"/>
      <c r="D557" s="644"/>
      <c r="E557" s="305">
        <f>SUMIF(Adjustments!A:A,A557,Adjustments!C:C)</f>
        <v>0</v>
      </c>
      <c r="F557" s="280">
        <f t="shared" si="8"/>
        <v>0</v>
      </c>
      <c r="G557" s="263" t="e">
        <v>#N/A</v>
      </c>
      <c r="H557" s="266" t="e">
        <f>VLOOKUP('Trial Balance'!$A557,'Code Allocation'!$A:$D,4,0)</f>
        <v>#N/A</v>
      </c>
      <c r="I557" s="267" t="e">
        <f>VLOOKUP('Trial Balance'!$A557,'Code Allocation'!$A:$E,5,0)</f>
        <v>#N/A</v>
      </c>
      <c r="J557" s="268" t="e">
        <f>VLOOKUP('Trial Balance'!$A557,'Code Allocation'!$A:$F,6,0)</f>
        <v>#N/A</v>
      </c>
    </row>
    <row r="558" spans="1:10" ht="15" hidden="1" customHeight="1" x14ac:dyDescent="0.3">
      <c r="A558" s="644"/>
      <c r="B558" s="644"/>
      <c r="C558" s="645"/>
      <c r="D558" s="644"/>
      <c r="E558" s="305">
        <f>SUMIF(Adjustments!A:A,A558,Adjustments!C:C)</f>
        <v>0</v>
      </c>
      <c r="F558" s="280">
        <f t="shared" si="8"/>
        <v>0</v>
      </c>
      <c r="G558" s="263" t="e">
        <v>#N/A</v>
      </c>
      <c r="H558" s="266" t="e">
        <f>VLOOKUP('Trial Balance'!$A558,'Code Allocation'!$A:$D,4,0)</f>
        <v>#N/A</v>
      </c>
      <c r="I558" s="267" t="e">
        <f>VLOOKUP('Trial Balance'!$A558,'Code Allocation'!$A:$E,5,0)</f>
        <v>#N/A</v>
      </c>
      <c r="J558" s="268" t="e">
        <f>VLOOKUP('Trial Balance'!$A558,'Code Allocation'!$A:$F,6,0)</f>
        <v>#N/A</v>
      </c>
    </row>
    <row r="559" spans="1:10" ht="15" hidden="1" customHeight="1" x14ac:dyDescent="0.3">
      <c r="A559" s="644"/>
      <c r="B559" s="644"/>
      <c r="C559" s="644"/>
      <c r="D559" s="645"/>
      <c r="E559" s="305">
        <f>SUMIF(Adjustments!A:A,A559,Adjustments!C:C)</f>
        <v>0</v>
      </c>
      <c r="F559" s="280">
        <f t="shared" si="8"/>
        <v>0</v>
      </c>
      <c r="G559" s="263" t="e">
        <v>#N/A</v>
      </c>
      <c r="H559" s="266" t="e">
        <f>VLOOKUP('Trial Balance'!$A559,'Code Allocation'!$A:$D,4,0)</f>
        <v>#N/A</v>
      </c>
      <c r="I559" s="267" t="e">
        <f>VLOOKUP('Trial Balance'!$A559,'Code Allocation'!$A:$E,5,0)</f>
        <v>#N/A</v>
      </c>
      <c r="J559" s="268" t="e">
        <f>VLOOKUP('Trial Balance'!$A559,'Code Allocation'!$A:$F,6,0)</f>
        <v>#N/A</v>
      </c>
    </row>
    <row r="560" spans="1:10" s="286" customFormat="1" ht="15" hidden="1" customHeight="1" x14ac:dyDescent="0.25">
      <c r="A560" s="646"/>
      <c r="B560" s="646"/>
      <c r="C560" s="646"/>
      <c r="D560" s="647"/>
      <c r="E560" s="305">
        <f>SUMIF(Adjustments!A:A,A560,Adjustments!C:C)</f>
        <v>0</v>
      </c>
      <c r="F560" s="285">
        <f t="shared" si="8"/>
        <v>0</v>
      </c>
      <c r="G560" s="286" t="e">
        <v>#N/A</v>
      </c>
      <c r="H560" s="266" t="e">
        <f>VLOOKUP('Trial Balance'!$A560,'Code Allocation'!$A:$D,4,0)</f>
        <v>#N/A</v>
      </c>
      <c r="I560" s="267" t="e">
        <f>VLOOKUP('Trial Balance'!$A560,'Code Allocation'!$A:$E,5,0)</f>
        <v>#N/A</v>
      </c>
      <c r="J560" s="268" t="e">
        <f>VLOOKUP('Trial Balance'!$A560,'Code Allocation'!$A:$F,6,0)</f>
        <v>#N/A</v>
      </c>
    </row>
    <row r="561" spans="1:10" ht="15" hidden="1" customHeight="1" x14ac:dyDescent="0.3">
      <c r="A561" s="644"/>
      <c r="B561" s="644"/>
      <c r="C561" s="644"/>
      <c r="D561" s="644"/>
      <c r="E561" s="305">
        <f>SUMIF(Adjustments!A:A,A561,Adjustments!C:C)</f>
        <v>0</v>
      </c>
      <c r="F561" s="280">
        <f t="shared" si="8"/>
        <v>0</v>
      </c>
      <c r="G561" s="263" t="e">
        <v>#N/A</v>
      </c>
      <c r="H561" s="266" t="e">
        <f>VLOOKUP('Trial Balance'!$A561,'Code Allocation'!$A:$D,4,0)</f>
        <v>#N/A</v>
      </c>
      <c r="I561" s="267" t="e">
        <f>VLOOKUP('Trial Balance'!$A561,'Code Allocation'!$A:$E,5,0)</f>
        <v>#N/A</v>
      </c>
      <c r="J561" s="268" t="e">
        <f>VLOOKUP('Trial Balance'!$A561,'Code Allocation'!$A:$F,6,0)</f>
        <v>#N/A</v>
      </c>
    </row>
    <row r="562" spans="1:10" ht="15" hidden="1" customHeight="1" x14ac:dyDescent="0.3">
      <c r="A562" s="644"/>
      <c r="B562" s="644"/>
      <c r="C562" s="645"/>
      <c r="D562" s="644"/>
      <c r="E562" s="305">
        <f>SUMIF(Adjustments!A:A,A562,Adjustments!C:C)</f>
        <v>0</v>
      </c>
      <c r="F562" s="280">
        <f t="shared" si="8"/>
        <v>0</v>
      </c>
      <c r="G562" s="263" t="e">
        <v>#N/A</v>
      </c>
      <c r="H562" s="266" t="e">
        <f>VLOOKUP('Trial Balance'!$A562,'Code Allocation'!$A:$D,4,0)</f>
        <v>#N/A</v>
      </c>
      <c r="I562" s="267" t="e">
        <f>VLOOKUP('Trial Balance'!$A562,'Code Allocation'!$A:$E,5,0)</f>
        <v>#N/A</v>
      </c>
      <c r="J562" s="268" t="e">
        <f>VLOOKUP('Trial Balance'!$A562,'Code Allocation'!$A:$F,6,0)</f>
        <v>#N/A</v>
      </c>
    </row>
    <row r="563" spans="1:10" ht="15" hidden="1" customHeight="1" x14ac:dyDescent="0.25">
      <c r="A563" s="644"/>
      <c r="B563" s="644"/>
      <c r="C563" s="644"/>
      <c r="D563" s="644"/>
      <c r="E563" s="305">
        <f>SUMIF(Adjustments!A:A,A563,Adjustments!C:C)</f>
        <v>0</v>
      </c>
      <c r="F563" s="278">
        <f t="shared" si="8"/>
        <v>0</v>
      </c>
      <c r="G563" s="263" t="e">
        <v>#N/A</v>
      </c>
      <c r="H563" s="266" t="e">
        <f>VLOOKUP('Trial Balance'!$A563,'Code Allocation'!$A:$D,4,0)</f>
        <v>#N/A</v>
      </c>
      <c r="I563" s="267" t="e">
        <f>VLOOKUP('Trial Balance'!$A563,'Code Allocation'!$A:$E,5,0)</f>
        <v>#N/A</v>
      </c>
      <c r="J563" s="268" t="e">
        <f>VLOOKUP('Trial Balance'!$A563,'Code Allocation'!$A:$F,6,0)</f>
        <v>#N/A</v>
      </c>
    </row>
    <row r="564" spans="1:10" ht="15" hidden="1" customHeight="1" x14ac:dyDescent="0.25">
      <c r="A564" s="644"/>
      <c r="B564" s="644"/>
      <c r="C564" s="644"/>
      <c r="D564" s="645"/>
      <c r="E564" s="305">
        <f>SUMIF(Adjustments!A:A,A564,Adjustments!C:C)</f>
        <v>0</v>
      </c>
      <c r="F564" s="278">
        <f t="shared" si="8"/>
        <v>0</v>
      </c>
      <c r="G564" s="263" t="e">
        <v>#N/A</v>
      </c>
      <c r="H564" s="266" t="e">
        <f>VLOOKUP('Trial Balance'!$A564,'Code Allocation'!$A:$D,4,0)</f>
        <v>#N/A</v>
      </c>
      <c r="I564" s="267" t="e">
        <f>VLOOKUP('Trial Balance'!$A564,'Code Allocation'!$A:$E,5,0)</f>
        <v>#N/A</v>
      </c>
      <c r="J564" s="268" t="e">
        <f>VLOOKUP('Trial Balance'!$A564,'Code Allocation'!$A:$F,6,0)</f>
        <v>#N/A</v>
      </c>
    </row>
    <row r="565" spans="1:10" ht="15" hidden="1" customHeight="1" x14ac:dyDescent="0.25">
      <c r="A565" s="644"/>
      <c r="B565" s="644"/>
      <c r="C565" s="644"/>
      <c r="D565" s="645"/>
      <c r="E565" s="305">
        <f>SUMIF(Adjustments!A:A,A565,Adjustments!C:C)</f>
        <v>0</v>
      </c>
      <c r="F565" s="278">
        <f t="shared" si="8"/>
        <v>0</v>
      </c>
      <c r="G565" s="263" t="e">
        <v>#N/A</v>
      </c>
      <c r="H565" s="266" t="e">
        <f>VLOOKUP('Trial Balance'!$A565,'Code Allocation'!$A:$D,4,0)</f>
        <v>#N/A</v>
      </c>
      <c r="I565" s="267" t="e">
        <f>VLOOKUP('Trial Balance'!$A565,'Code Allocation'!$A:$E,5,0)</f>
        <v>#N/A</v>
      </c>
      <c r="J565" s="268" t="e">
        <f>VLOOKUP('Trial Balance'!$A565,'Code Allocation'!$A:$F,6,0)</f>
        <v>#N/A</v>
      </c>
    </row>
    <row r="566" spans="1:10" s="286" customFormat="1" ht="15" hidden="1" customHeight="1" x14ac:dyDescent="0.25">
      <c r="A566" s="646"/>
      <c r="B566" s="646"/>
      <c r="C566" s="646"/>
      <c r="D566" s="646"/>
      <c r="E566" s="305">
        <f>SUMIF(Adjustments!A:A,A566,Adjustments!C:C)</f>
        <v>0</v>
      </c>
      <c r="F566" s="285">
        <f t="shared" si="8"/>
        <v>0</v>
      </c>
      <c r="G566" s="286" t="e">
        <v>#N/A</v>
      </c>
      <c r="H566" s="266" t="e">
        <f>VLOOKUP('Trial Balance'!$A566,'Code Allocation'!$A:$D,4,0)</f>
        <v>#N/A</v>
      </c>
      <c r="I566" s="267" t="e">
        <f>VLOOKUP('Trial Balance'!$A566,'Code Allocation'!$A:$E,5,0)</f>
        <v>#N/A</v>
      </c>
      <c r="J566" s="268" t="e">
        <f>VLOOKUP('Trial Balance'!$A566,'Code Allocation'!$A:$F,6,0)</f>
        <v>#N/A</v>
      </c>
    </row>
    <row r="567" spans="1:10" ht="15" hidden="1" customHeight="1" x14ac:dyDescent="0.25">
      <c r="A567" s="644"/>
      <c r="B567" s="644"/>
      <c r="C567" s="644"/>
      <c r="D567" s="644"/>
      <c r="E567" s="305">
        <f>SUMIF(Adjustments!A:A,A567,Adjustments!C:C)</f>
        <v>0</v>
      </c>
      <c r="F567" s="278">
        <f t="shared" si="8"/>
        <v>0</v>
      </c>
      <c r="G567" s="263" t="e">
        <v>#N/A</v>
      </c>
      <c r="H567" s="266" t="e">
        <f>VLOOKUP('Trial Balance'!$A567,'Code Allocation'!$A:$D,4,0)</f>
        <v>#N/A</v>
      </c>
      <c r="I567" s="267" t="e">
        <f>VLOOKUP('Trial Balance'!$A567,'Code Allocation'!$A:$E,5,0)</f>
        <v>#N/A</v>
      </c>
      <c r="J567" s="268" t="e">
        <f>VLOOKUP('Trial Balance'!$A567,'Code Allocation'!$A:$F,6,0)</f>
        <v>#N/A</v>
      </c>
    </row>
    <row r="568" spans="1:10" s="286" customFormat="1" ht="15" hidden="1" customHeight="1" x14ac:dyDescent="0.25">
      <c r="A568" s="646"/>
      <c r="B568" s="646"/>
      <c r="C568" s="646"/>
      <c r="D568" s="647"/>
      <c r="E568" s="305">
        <f>SUMIF(Adjustments!A:A,A568,Adjustments!C:C)</f>
        <v>0</v>
      </c>
      <c r="F568" s="285">
        <f t="shared" si="8"/>
        <v>0</v>
      </c>
      <c r="G568" s="286" t="e">
        <v>#N/A</v>
      </c>
      <c r="H568" s="266" t="e">
        <f>VLOOKUP('Trial Balance'!$A568,'Code Allocation'!$A:$D,4,0)</f>
        <v>#N/A</v>
      </c>
      <c r="I568" s="267" t="e">
        <f>VLOOKUP('Trial Balance'!$A568,'Code Allocation'!$A:$E,5,0)</f>
        <v>#N/A</v>
      </c>
      <c r="J568" s="268" t="e">
        <f>VLOOKUP('Trial Balance'!$A568,'Code Allocation'!$A:$F,6,0)</f>
        <v>#N/A</v>
      </c>
    </row>
    <row r="569" spans="1:10" ht="15" hidden="1" customHeight="1" x14ac:dyDescent="0.25">
      <c r="A569" s="644"/>
      <c r="B569" s="644"/>
      <c r="C569" s="645"/>
      <c r="D569" s="644"/>
      <c r="E569" s="305">
        <f>SUMIF(Adjustments!A:A,A569,Adjustments!C:C)</f>
        <v>0</v>
      </c>
      <c r="F569" s="278">
        <f t="shared" si="8"/>
        <v>0</v>
      </c>
      <c r="G569" s="263" t="e">
        <v>#N/A</v>
      </c>
      <c r="H569" s="266" t="e">
        <f>VLOOKUP('Trial Balance'!$A569,'Code Allocation'!$A:$D,4,0)</f>
        <v>#N/A</v>
      </c>
      <c r="I569" s="267" t="e">
        <f>VLOOKUP('Trial Balance'!$A569,'Code Allocation'!$A:$E,5,0)</f>
        <v>#N/A</v>
      </c>
      <c r="J569" s="268" t="e">
        <f>VLOOKUP('Trial Balance'!$A569,'Code Allocation'!$A:$F,6,0)</f>
        <v>#N/A</v>
      </c>
    </row>
    <row r="570" spans="1:10" ht="15" hidden="1" customHeight="1" x14ac:dyDescent="0.25">
      <c r="A570" s="644"/>
      <c r="B570" s="644"/>
      <c r="C570" s="645"/>
      <c r="D570" s="644"/>
      <c r="E570" s="305">
        <f>SUMIF(Adjustments!A:A,A570,Adjustments!C:C)</f>
        <v>0</v>
      </c>
      <c r="F570" s="278">
        <f t="shared" si="8"/>
        <v>0</v>
      </c>
      <c r="G570" s="263" t="e">
        <v>#N/A</v>
      </c>
      <c r="H570" s="266" t="e">
        <f>VLOOKUP('Trial Balance'!$A570,'Code Allocation'!$A:$D,4,0)</f>
        <v>#N/A</v>
      </c>
      <c r="I570" s="267" t="e">
        <f>VLOOKUP('Trial Balance'!$A570,'Code Allocation'!$A:$E,5,0)</f>
        <v>#N/A</v>
      </c>
      <c r="J570" s="268" t="e">
        <f>VLOOKUP('Trial Balance'!$A570,'Code Allocation'!$A:$F,6,0)</f>
        <v>#N/A</v>
      </c>
    </row>
    <row r="571" spans="1:10" ht="15" hidden="1" customHeight="1" x14ac:dyDescent="0.25">
      <c r="A571" s="644"/>
      <c r="B571" s="644"/>
      <c r="C571" s="644"/>
      <c r="D571" s="644"/>
      <c r="E571" s="305">
        <f>SUMIF(Adjustments!A:A,A571,Adjustments!C:C)</f>
        <v>0</v>
      </c>
      <c r="F571" s="278">
        <f t="shared" si="8"/>
        <v>0</v>
      </c>
      <c r="G571" s="263" t="e">
        <v>#N/A</v>
      </c>
      <c r="H571" s="266" t="e">
        <f>VLOOKUP('Trial Balance'!$A571,'Code Allocation'!$A:$D,4,0)</f>
        <v>#N/A</v>
      </c>
      <c r="I571" s="267" t="e">
        <f>VLOOKUP('Trial Balance'!$A571,'Code Allocation'!$A:$E,5,0)</f>
        <v>#N/A</v>
      </c>
      <c r="J571" s="268" t="e">
        <f>VLOOKUP('Trial Balance'!$A571,'Code Allocation'!$A:$F,6,0)</f>
        <v>#N/A</v>
      </c>
    </row>
    <row r="572" spans="1:10" ht="15" hidden="1" customHeight="1" x14ac:dyDescent="0.25">
      <c r="A572" s="644"/>
      <c r="B572" s="644"/>
      <c r="C572" s="644"/>
      <c r="D572" s="644"/>
      <c r="E572" s="305">
        <f>SUMIF(Adjustments!A:A,A572,Adjustments!C:C)</f>
        <v>0</v>
      </c>
      <c r="F572" s="278">
        <f t="shared" si="8"/>
        <v>0</v>
      </c>
      <c r="G572" s="263" t="e">
        <v>#N/A</v>
      </c>
      <c r="H572" s="266" t="e">
        <f>VLOOKUP('Trial Balance'!$A572,'Code Allocation'!$A:$D,4,0)</f>
        <v>#N/A</v>
      </c>
      <c r="I572" s="267" t="e">
        <f>VLOOKUP('Trial Balance'!$A572,'Code Allocation'!$A:$E,5,0)</f>
        <v>#N/A</v>
      </c>
      <c r="J572" s="268" t="e">
        <f>VLOOKUP('Trial Balance'!$A572,'Code Allocation'!$A:$F,6,0)</f>
        <v>#N/A</v>
      </c>
    </row>
    <row r="573" spans="1:10" ht="15" hidden="1" customHeight="1" x14ac:dyDescent="0.25">
      <c r="A573" s="644"/>
      <c r="B573" s="644"/>
      <c r="C573" s="644"/>
      <c r="D573" s="644"/>
      <c r="E573" s="305">
        <f>SUMIF(Adjustments!A:A,A573,Adjustments!C:C)</f>
        <v>0</v>
      </c>
      <c r="F573" s="278">
        <f t="shared" si="8"/>
        <v>0</v>
      </c>
      <c r="G573" s="263" t="e">
        <v>#N/A</v>
      </c>
      <c r="H573" s="266" t="e">
        <f>VLOOKUP('Trial Balance'!$A573,'Code Allocation'!$A:$D,4,0)</f>
        <v>#N/A</v>
      </c>
      <c r="I573" s="267" t="e">
        <f>VLOOKUP('Trial Balance'!$A573,'Code Allocation'!$A:$E,5,0)</f>
        <v>#N/A</v>
      </c>
      <c r="J573" s="268" t="e">
        <f>VLOOKUP('Trial Balance'!$A573,'Code Allocation'!$A:$F,6,0)</f>
        <v>#N/A</v>
      </c>
    </row>
    <row r="574" spans="1:10" ht="15" hidden="1" customHeight="1" x14ac:dyDescent="0.25">
      <c r="A574" s="644"/>
      <c r="B574" s="644"/>
      <c r="C574" s="645"/>
      <c r="D574" s="644"/>
      <c r="E574" s="305">
        <f>SUMIF(Adjustments!A:A,A574,Adjustments!C:C)</f>
        <v>0</v>
      </c>
      <c r="F574" s="278">
        <f t="shared" si="8"/>
        <v>0</v>
      </c>
      <c r="G574" s="263" t="e">
        <v>#N/A</v>
      </c>
      <c r="H574" s="266" t="e">
        <f>VLOOKUP('Trial Balance'!$A574,'Code Allocation'!$A:$D,4,0)</f>
        <v>#N/A</v>
      </c>
      <c r="I574" s="267" t="e">
        <f>VLOOKUP('Trial Balance'!$A574,'Code Allocation'!$A:$E,5,0)</f>
        <v>#N/A</v>
      </c>
      <c r="J574" s="268" t="e">
        <f>VLOOKUP('Trial Balance'!$A574,'Code Allocation'!$A:$F,6,0)</f>
        <v>#N/A</v>
      </c>
    </row>
    <row r="575" spans="1:10" ht="15" hidden="1" customHeight="1" x14ac:dyDescent="0.25">
      <c r="A575" s="644"/>
      <c r="B575" s="644"/>
      <c r="C575" s="645"/>
      <c r="D575" s="644"/>
      <c r="E575" s="305">
        <f>SUMIF(Adjustments!A:A,A575,Adjustments!C:C)</f>
        <v>0</v>
      </c>
      <c r="F575" s="278">
        <f t="shared" si="8"/>
        <v>0</v>
      </c>
      <c r="G575" s="263" t="e">
        <v>#N/A</v>
      </c>
      <c r="H575" s="266" t="e">
        <f>VLOOKUP('Trial Balance'!$A575,'Code Allocation'!$A:$D,4,0)</f>
        <v>#N/A</v>
      </c>
      <c r="I575" s="267" t="e">
        <f>VLOOKUP('Trial Balance'!$A575,'Code Allocation'!$A:$E,5,0)</f>
        <v>#N/A</v>
      </c>
      <c r="J575" s="268" t="e">
        <f>VLOOKUP('Trial Balance'!$A575,'Code Allocation'!$A:$F,6,0)</f>
        <v>#N/A</v>
      </c>
    </row>
    <row r="576" spans="1:10" ht="15" hidden="1" customHeight="1" x14ac:dyDescent="0.25">
      <c r="A576" s="644"/>
      <c r="B576" s="644"/>
      <c r="C576" s="644"/>
      <c r="D576" s="644"/>
      <c r="E576" s="305">
        <f>SUMIF(Adjustments!A:A,A576,Adjustments!C:C)</f>
        <v>0</v>
      </c>
      <c r="F576" s="278">
        <f t="shared" si="8"/>
        <v>0</v>
      </c>
      <c r="G576" s="263" t="e">
        <v>#N/A</v>
      </c>
      <c r="H576" s="266" t="e">
        <f>VLOOKUP('Trial Balance'!$A576,'Code Allocation'!$A:$D,4,0)</f>
        <v>#N/A</v>
      </c>
      <c r="I576" s="267" t="e">
        <f>VLOOKUP('Trial Balance'!$A576,'Code Allocation'!$A:$E,5,0)</f>
        <v>#N/A</v>
      </c>
      <c r="J576" s="268" t="e">
        <f>VLOOKUP('Trial Balance'!$A576,'Code Allocation'!$A:$F,6,0)</f>
        <v>#N/A</v>
      </c>
    </row>
    <row r="577" spans="1:10" ht="15" hidden="1" customHeight="1" x14ac:dyDescent="0.25">
      <c r="A577" s="644"/>
      <c r="B577" s="644"/>
      <c r="C577" s="645"/>
      <c r="D577" s="644"/>
      <c r="E577" s="305">
        <f>SUMIF(Adjustments!A:A,A577,Adjustments!C:C)</f>
        <v>0</v>
      </c>
      <c r="F577" s="278">
        <f t="shared" si="8"/>
        <v>0</v>
      </c>
      <c r="G577" s="263" t="e">
        <v>#N/A</v>
      </c>
      <c r="H577" s="266" t="e">
        <f>VLOOKUP('Trial Balance'!$A577,'Code Allocation'!$A:$D,4,0)</f>
        <v>#N/A</v>
      </c>
      <c r="I577" s="267" t="e">
        <f>VLOOKUP('Trial Balance'!$A577,'Code Allocation'!$A:$E,5,0)</f>
        <v>#N/A</v>
      </c>
      <c r="J577" s="268" t="e">
        <f>VLOOKUP('Trial Balance'!$A577,'Code Allocation'!$A:$F,6,0)</f>
        <v>#N/A</v>
      </c>
    </row>
    <row r="578" spans="1:10" ht="15" hidden="1" customHeight="1" x14ac:dyDescent="0.25">
      <c r="A578" s="644"/>
      <c r="B578" s="644"/>
      <c r="C578" s="644"/>
      <c r="D578" s="644"/>
      <c r="E578" s="305">
        <f>SUMIF(Adjustments!A:A,A578,Adjustments!C:C)</f>
        <v>0</v>
      </c>
      <c r="F578" s="278">
        <f t="shared" si="8"/>
        <v>0</v>
      </c>
      <c r="G578" s="263" t="e">
        <v>#N/A</v>
      </c>
      <c r="H578" s="266" t="e">
        <f>VLOOKUP('Trial Balance'!$A578,'Code Allocation'!$A:$D,4,0)</f>
        <v>#N/A</v>
      </c>
      <c r="I578" s="267" t="e">
        <f>VLOOKUP('Trial Balance'!$A578,'Code Allocation'!$A:$E,5,0)</f>
        <v>#N/A</v>
      </c>
      <c r="J578" s="268" t="e">
        <f>VLOOKUP('Trial Balance'!$A578,'Code Allocation'!$A:$F,6,0)</f>
        <v>#N/A</v>
      </c>
    </row>
    <row r="579" spans="1:10" ht="15" hidden="1" customHeight="1" x14ac:dyDescent="0.25">
      <c r="A579" s="644"/>
      <c r="B579" s="644"/>
      <c r="C579" s="644"/>
      <c r="D579" s="644"/>
      <c r="E579" s="305">
        <f>SUMIF(Adjustments!A:A,A579,Adjustments!C:C)</f>
        <v>0</v>
      </c>
      <c r="F579" s="278">
        <f t="shared" si="8"/>
        <v>0</v>
      </c>
      <c r="G579" s="263" t="e">
        <v>#N/A</v>
      </c>
      <c r="H579" s="266" t="e">
        <f>VLOOKUP('Trial Balance'!$A579,'Code Allocation'!$A:$D,4,0)</f>
        <v>#N/A</v>
      </c>
      <c r="I579" s="267" t="e">
        <f>VLOOKUP('Trial Balance'!$A579,'Code Allocation'!$A:$E,5,0)</f>
        <v>#N/A</v>
      </c>
      <c r="J579" s="268" t="e">
        <f>VLOOKUP('Trial Balance'!$A579,'Code Allocation'!$A:$F,6,0)</f>
        <v>#N/A</v>
      </c>
    </row>
    <row r="580" spans="1:10" ht="15" hidden="1" customHeight="1" x14ac:dyDescent="0.25">
      <c r="A580" s="644"/>
      <c r="B580" s="644"/>
      <c r="C580" s="645"/>
      <c r="D580" s="644"/>
      <c r="E580" s="305">
        <f>SUMIF(Adjustments!A:A,A580,Adjustments!C:C)</f>
        <v>0</v>
      </c>
      <c r="F580" s="278">
        <f t="shared" si="8"/>
        <v>0</v>
      </c>
      <c r="G580" s="263" t="e">
        <v>#N/A</v>
      </c>
      <c r="H580" s="266" t="e">
        <f>VLOOKUP('Trial Balance'!$A580,'Code Allocation'!$A:$D,4,0)</f>
        <v>#N/A</v>
      </c>
      <c r="I580" s="267" t="e">
        <f>VLOOKUP('Trial Balance'!$A580,'Code Allocation'!$A:$E,5,0)</f>
        <v>#N/A</v>
      </c>
      <c r="J580" s="268" t="e">
        <f>VLOOKUP('Trial Balance'!$A580,'Code Allocation'!$A:$F,6,0)</f>
        <v>#N/A</v>
      </c>
    </row>
    <row r="581" spans="1:10" ht="15" hidden="1" customHeight="1" x14ac:dyDescent="0.25">
      <c r="A581" s="644"/>
      <c r="B581" s="644"/>
      <c r="C581" s="645"/>
      <c r="D581" s="644"/>
      <c r="E581" s="305">
        <f>SUMIF(Adjustments!A:A,A581,Adjustments!C:C)</f>
        <v>0</v>
      </c>
      <c r="F581" s="278">
        <f t="shared" si="8"/>
        <v>0</v>
      </c>
      <c r="G581" s="263" t="e">
        <v>#N/A</v>
      </c>
      <c r="H581" s="266" t="e">
        <f>VLOOKUP('Trial Balance'!$A581,'Code Allocation'!$A:$D,4,0)</f>
        <v>#N/A</v>
      </c>
      <c r="I581" s="267" t="e">
        <f>VLOOKUP('Trial Balance'!$A581,'Code Allocation'!$A:$E,5,0)</f>
        <v>#N/A</v>
      </c>
      <c r="J581" s="268" t="e">
        <f>VLOOKUP('Trial Balance'!$A581,'Code Allocation'!$A:$F,6,0)</f>
        <v>#N/A</v>
      </c>
    </row>
    <row r="582" spans="1:10" ht="15" hidden="1" customHeight="1" x14ac:dyDescent="0.25">
      <c r="A582" s="644"/>
      <c r="B582" s="644"/>
      <c r="C582" s="644"/>
      <c r="D582" s="644"/>
      <c r="E582" s="305">
        <f>SUMIF(Adjustments!A:A,A582,Adjustments!C:C)</f>
        <v>0</v>
      </c>
      <c r="F582" s="278">
        <f t="shared" si="8"/>
        <v>0</v>
      </c>
      <c r="G582" s="263" t="e">
        <v>#N/A</v>
      </c>
      <c r="H582" s="266" t="e">
        <f>VLOOKUP('Trial Balance'!$A582,'Code Allocation'!$A:$D,4,0)</f>
        <v>#N/A</v>
      </c>
      <c r="I582" s="267" t="e">
        <f>VLOOKUP('Trial Balance'!$A582,'Code Allocation'!$A:$E,5,0)</f>
        <v>#N/A</v>
      </c>
      <c r="J582" s="268" t="e">
        <f>VLOOKUP('Trial Balance'!$A582,'Code Allocation'!$A:$F,6,0)</f>
        <v>#N/A</v>
      </c>
    </row>
    <row r="583" spans="1:10" ht="15" hidden="1" customHeight="1" x14ac:dyDescent="0.25">
      <c r="A583" s="644"/>
      <c r="B583" s="644"/>
      <c r="C583" s="645"/>
      <c r="D583" s="644"/>
      <c r="E583" s="305">
        <f>SUMIF(Adjustments!A:A,A583,Adjustments!C:C)</f>
        <v>0</v>
      </c>
      <c r="F583" s="278">
        <f t="shared" si="8"/>
        <v>0</v>
      </c>
      <c r="G583" s="263" t="e">
        <v>#N/A</v>
      </c>
      <c r="H583" s="266" t="e">
        <f>VLOOKUP('Trial Balance'!$A583,'Code Allocation'!$A:$D,4,0)</f>
        <v>#N/A</v>
      </c>
      <c r="I583" s="267" t="e">
        <f>VLOOKUP('Trial Balance'!$A583,'Code Allocation'!$A:$E,5,0)</f>
        <v>#N/A</v>
      </c>
      <c r="J583" s="268" t="e">
        <f>VLOOKUP('Trial Balance'!$A583,'Code Allocation'!$A:$F,6,0)</f>
        <v>#N/A</v>
      </c>
    </row>
    <row r="584" spans="1:10" ht="15" hidden="1" customHeight="1" x14ac:dyDescent="0.25">
      <c r="A584" s="644"/>
      <c r="B584" s="644"/>
      <c r="C584" s="644"/>
      <c r="D584" s="644"/>
      <c r="E584" s="305">
        <f>SUMIF(Adjustments!A:A,A584,Adjustments!C:C)</f>
        <v>0</v>
      </c>
      <c r="F584" s="278">
        <f t="shared" si="8"/>
        <v>0</v>
      </c>
      <c r="G584" s="263" t="e">
        <v>#N/A</v>
      </c>
      <c r="H584" s="266" t="e">
        <f>VLOOKUP('Trial Balance'!$A584,'Code Allocation'!$A:$D,4,0)</f>
        <v>#N/A</v>
      </c>
      <c r="I584" s="267" t="e">
        <f>VLOOKUP('Trial Balance'!$A584,'Code Allocation'!$A:$E,5,0)</f>
        <v>#N/A</v>
      </c>
      <c r="J584" s="268" t="e">
        <f>VLOOKUP('Trial Balance'!$A584,'Code Allocation'!$A:$F,6,0)</f>
        <v>#N/A</v>
      </c>
    </row>
    <row r="585" spans="1:10" ht="15" hidden="1" customHeight="1" x14ac:dyDescent="0.25">
      <c r="A585" s="644"/>
      <c r="B585" s="644"/>
      <c r="C585" s="645"/>
      <c r="D585" s="644"/>
      <c r="E585" s="305">
        <f>SUMIF(Adjustments!A:A,A585,Adjustments!C:C)</f>
        <v>0</v>
      </c>
      <c r="F585" s="278">
        <f t="shared" si="8"/>
        <v>0</v>
      </c>
      <c r="G585" s="263" t="e">
        <v>#N/A</v>
      </c>
      <c r="H585" s="266" t="e">
        <f>VLOOKUP('Trial Balance'!$A585,'Code Allocation'!$A:$D,4,0)</f>
        <v>#N/A</v>
      </c>
      <c r="I585" s="267" t="e">
        <f>VLOOKUP('Trial Balance'!$A585,'Code Allocation'!$A:$E,5,0)</f>
        <v>#N/A</v>
      </c>
      <c r="J585" s="268" t="e">
        <f>VLOOKUP('Trial Balance'!$A585,'Code Allocation'!$A:$F,6,0)</f>
        <v>#N/A</v>
      </c>
    </row>
    <row r="586" spans="1:10" ht="15" hidden="1" customHeight="1" x14ac:dyDescent="0.25">
      <c r="A586" s="644"/>
      <c r="B586" s="644"/>
      <c r="C586" s="644"/>
      <c r="D586" s="644"/>
      <c r="E586" s="305">
        <f>SUMIF(Adjustments!A:A,A586,Adjustments!C:C)</f>
        <v>0</v>
      </c>
      <c r="F586" s="278">
        <f t="shared" si="8"/>
        <v>0</v>
      </c>
      <c r="G586" s="263" t="e">
        <v>#N/A</v>
      </c>
      <c r="H586" s="266" t="e">
        <f>VLOOKUP('Trial Balance'!$A586,'Code Allocation'!$A:$D,4,0)</f>
        <v>#N/A</v>
      </c>
      <c r="I586" s="267" t="e">
        <f>VLOOKUP('Trial Balance'!$A586,'Code Allocation'!$A:$E,5,0)</f>
        <v>#N/A</v>
      </c>
      <c r="J586" s="268" t="e">
        <f>VLOOKUP('Trial Balance'!$A586,'Code Allocation'!$A:$F,6,0)</f>
        <v>#N/A</v>
      </c>
    </row>
    <row r="587" spans="1:10" ht="15" hidden="1" customHeight="1" x14ac:dyDescent="0.25">
      <c r="A587" s="644"/>
      <c r="B587" s="644"/>
      <c r="C587" s="644"/>
      <c r="D587" s="644"/>
      <c r="E587" s="305">
        <f>SUMIF(Adjustments!A:A,A587,Adjustments!C:C)</f>
        <v>0</v>
      </c>
      <c r="F587" s="278">
        <f t="shared" si="8"/>
        <v>0</v>
      </c>
      <c r="G587" s="263" t="e">
        <v>#N/A</v>
      </c>
      <c r="H587" s="266" t="e">
        <f>VLOOKUP('Trial Balance'!$A587,'Code Allocation'!$A:$D,4,0)</f>
        <v>#N/A</v>
      </c>
      <c r="I587" s="267" t="e">
        <f>VLOOKUP('Trial Balance'!$A587,'Code Allocation'!$A:$E,5,0)</f>
        <v>#N/A</v>
      </c>
      <c r="J587" s="268" t="e">
        <f>VLOOKUP('Trial Balance'!$A587,'Code Allocation'!$A:$F,6,0)</f>
        <v>#N/A</v>
      </c>
    </row>
    <row r="588" spans="1:10" ht="15" hidden="1" customHeight="1" x14ac:dyDescent="0.25">
      <c r="A588" s="644"/>
      <c r="B588" s="644"/>
      <c r="C588" s="644"/>
      <c r="D588" s="644"/>
      <c r="E588" s="305">
        <f>SUMIF(Adjustments!A:A,A588,Adjustments!C:C)</f>
        <v>0</v>
      </c>
      <c r="F588" s="278">
        <f t="shared" si="8"/>
        <v>0</v>
      </c>
      <c r="G588" s="263" t="e">
        <v>#N/A</v>
      </c>
      <c r="H588" s="266" t="e">
        <f>VLOOKUP('Trial Balance'!$A588,'Code Allocation'!$A:$D,4,0)</f>
        <v>#N/A</v>
      </c>
      <c r="I588" s="267" t="e">
        <f>VLOOKUP('Trial Balance'!$A588,'Code Allocation'!$A:$E,5,0)</f>
        <v>#N/A</v>
      </c>
      <c r="J588" s="268" t="e">
        <f>VLOOKUP('Trial Balance'!$A588,'Code Allocation'!$A:$F,6,0)</f>
        <v>#N/A</v>
      </c>
    </row>
    <row r="589" spans="1:10" ht="15" hidden="1" customHeight="1" x14ac:dyDescent="0.25">
      <c r="A589" s="644"/>
      <c r="B589" s="644"/>
      <c r="C589" s="644"/>
      <c r="D589" s="644"/>
      <c r="E589" s="305">
        <f>SUMIF(Adjustments!A:A,A589,Adjustments!C:C)</f>
        <v>0</v>
      </c>
      <c r="F589" s="278">
        <f t="shared" si="8"/>
        <v>0</v>
      </c>
      <c r="G589" s="263" t="e">
        <v>#N/A</v>
      </c>
      <c r="H589" s="266" t="e">
        <f>VLOOKUP('Trial Balance'!$A589,'Code Allocation'!$A:$D,4,0)</f>
        <v>#N/A</v>
      </c>
      <c r="I589" s="267" t="e">
        <f>VLOOKUP('Trial Balance'!$A589,'Code Allocation'!$A:$E,5,0)</f>
        <v>#N/A</v>
      </c>
      <c r="J589" s="268" t="e">
        <f>VLOOKUP('Trial Balance'!$A589,'Code Allocation'!$A:$F,6,0)</f>
        <v>#N/A</v>
      </c>
    </row>
    <row r="590" spans="1:10" ht="15" hidden="1" customHeight="1" x14ac:dyDescent="0.25">
      <c r="A590" s="644"/>
      <c r="B590" s="644"/>
      <c r="C590" s="645"/>
      <c r="D590" s="644"/>
      <c r="E590" s="305">
        <f>SUMIF(Adjustments!A:A,A590,Adjustments!C:C)</f>
        <v>0</v>
      </c>
      <c r="F590" s="278">
        <f t="shared" si="8"/>
        <v>0</v>
      </c>
      <c r="G590" s="263" t="e">
        <v>#N/A</v>
      </c>
      <c r="H590" s="266" t="e">
        <f>VLOOKUP('Trial Balance'!$A590,'Code Allocation'!$A:$D,4,0)</f>
        <v>#N/A</v>
      </c>
      <c r="I590" s="267" t="e">
        <f>VLOOKUP('Trial Balance'!$A590,'Code Allocation'!$A:$E,5,0)</f>
        <v>#N/A</v>
      </c>
      <c r="J590" s="268" t="e">
        <f>VLOOKUP('Trial Balance'!$A590,'Code Allocation'!$A:$F,6,0)</f>
        <v>#N/A</v>
      </c>
    </row>
    <row r="591" spans="1:10" ht="15" hidden="1" customHeight="1" x14ac:dyDescent="0.25">
      <c r="A591" s="644"/>
      <c r="B591" s="644"/>
      <c r="C591" s="644"/>
      <c r="D591" s="644"/>
      <c r="E591" s="305">
        <f>SUMIF(Adjustments!A:A,A591,Adjustments!C:C)</f>
        <v>0</v>
      </c>
      <c r="F591" s="278">
        <f t="shared" si="8"/>
        <v>0</v>
      </c>
      <c r="G591" s="263" t="e">
        <v>#N/A</v>
      </c>
      <c r="H591" s="266" t="e">
        <f>VLOOKUP('Trial Balance'!$A591,'Code Allocation'!$A:$D,4,0)</f>
        <v>#N/A</v>
      </c>
      <c r="I591" s="267" t="e">
        <f>VLOOKUP('Trial Balance'!$A591,'Code Allocation'!$A:$E,5,0)</f>
        <v>#N/A</v>
      </c>
      <c r="J591" s="268" t="e">
        <f>VLOOKUP('Trial Balance'!$A591,'Code Allocation'!$A:$F,6,0)</f>
        <v>#N/A</v>
      </c>
    </row>
    <row r="592" spans="1:10" ht="15" hidden="1" customHeight="1" x14ac:dyDescent="0.25">
      <c r="A592" s="644"/>
      <c r="B592" s="644"/>
      <c r="C592" s="644"/>
      <c r="D592" s="644"/>
      <c r="E592" s="305">
        <f>SUMIF(Adjustments!A:A,A592,Adjustments!C:C)</f>
        <v>0</v>
      </c>
      <c r="F592" s="278">
        <f t="shared" si="8"/>
        <v>0</v>
      </c>
      <c r="G592" s="263" t="e">
        <v>#N/A</v>
      </c>
      <c r="H592" s="266" t="e">
        <f>VLOOKUP('Trial Balance'!$A592,'Code Allocation'!$A:$D,4,0)</f>
        <v>#N/A</v>
      </c>
      <c r="I592" s="267" t="e">
        <f>VLOOKUP('Trial Balance'!$A592,'Code Allocation'!$A:$E,5,0)</f>
        <v>#N/A</v>
      </c>
      <c r="J592" s="268" t="e">
        <f>VLOOKUP('Trial Balance'!$A592,'Code Allocation'!$A:$F,6,0)</f>
        <v>#N/A</v>
      </c>
    </row>
    <row r="593" spans="1:10" ht="15" hidden="1" customHeight="1" x14ac:dyDescent="0.25">
      <c r="A593" s="644"/>
      <c r="B593" s="644"/>
      <c r="C593" s="644"/>
      <c r="D593" s="644"/>
      <c r="E593" s="305">
        <f>SUMIF(Adjustments!A:A,A593,Adjustments!C:C)</f>
        <v>0</v>
      </c>
      <c r="F593" s="278">
        <f t="shared" si="8"/>
        <v>0</v>
      </c>
      <c r="G593" s="263" t="e">
        <v>#N/A</v>
      </c>
      <c r="H593" s="266" t="e">
        <f>VLOOKUP('Trial Balance'!$A593,'Code Allocation'!$A:$D,4,0)</f>
        <v>#N/A</v>
      </c>
      <c r="I593" s="267" t="e">
        <f>VLOOKUP('Trial Balance'!$A593,'Code Allocation'!$A:$E,5,0)</f>
        <v>#N/A</v>
      </c>
      <c r="J593" s="268" t="e">
        <f>VLOOKUP('Trial Balance'!$A593,'Code Allocation'!$A:$F,6,0)</f>
        <v>#N/A</v>
      </c>
    </row>
    <row r="594" spans="1:10" ht="15" hidden="1" customHeight="1" x14ac:dyDescent="0.25">
      <c r="A594" s="644"/>
      <c r="B594" s="644"/>
      <c r="C594" s="645"/>
      <c r="D594" s="644"/>
      <c r="E594" s="305">
        <f>SUMIF(Adjustments!A:A,A594,Adjustments!C:C)</f>
        <v>0</v>
      </c>
      <c r="F594" s="278">
        <f t="shared" si="8"/>
        <v>0</v>
      </c>
      <c r="G594" s="263" t="e">
        <v>#N/A</v>
      </c>
      <c r="H594" s="266" t="e">
        <f>VLOOKUP('Trial Balance'!$A594,'Code Allocation'!$A:$D,4,0)</f>
        <v>#N/A</v>
      </c>
      <c r="I594" s="267" t="e">
        <f>VLOOKUP('Trial Balance'!$A594,'Code Allocation'!$A:$E,5,0)</f>
        <v>#N/A</v>
      </c>
      <c r="J594" s="268" t="e">
        <f>VLOOKUP('Trial Balance'!$A594,'Code Allocation'!$A:$F,6,0)</f>
        <v>#N/A</v>
      </c>
    </row>
    <row r="595" spans="1:10" ht="15" hidden="1" customHeight="1" x14ac:dyDescent="0.25">
      <c r="A595" s="644"/>
      <c r="B595" s="644"/>
      <c r="C595" s="644"/>
      <c r="D595" s="644"/>
      <c r="E595" s="305">
        <f>SUMIF(Adjustments!A:A,A595,Adjustments!C:C)</f>
        <v>0</v>
      </c>
      <c r="F595" s="278">
        <f t="shared" si="8"/>
        <v>0</v>
      </c>
      <c r="G595" s="263" t="e">
        <v>#N/A</v>
      </c>
      <c r="H595" s="266" t="e">
        <f>VLOOKUP('Trial Balance'!$A595,'Code Allocation'!$A:$D,4,0)</f>
        <v>#N/A</v>
      </c>
      <c r="I595" s="267" t="e">
        <f>VLOOKUP('Trial Balance'!$A595,'Code Allocation'!$A:$E,5,0)</f>
        <v>#N/A</v>
      </c>
      <c r="J595" s="268" t="e">
        <f>VLOOKUP('Trial Balance'!$A595,'Code Allocation'!$A:$F,6,0)</f>
        <v>#N/A</v>
      </c>
    </row>
    <row r="596" spans="1:10" ht="15" hidden="1" customHeight="1" x14ac:dyDescent="0.25">
      <c r="A596" s="644"/>
      <c r="B596" s="644"/>
      <c r="C596" s="644"/>
      <c r="D596" s="644"/>
      <c r="E596" s="305">
        <f>SUMIF(Adjustments!A:A,A596,Adjustments!C:C)</f>
        <v>0</v>
      </c>
      <c r="F596" s="278">
        <f t="shared" si="8"/>
        <v>0</v>
      </c>
      <c r="G596" s="263" t="e">
        <v>#N/A</v>
      </c>
      <c r="H596" s="266" t="e">
        <f>VLOOKUP('Trial Balance'!$A596,'Code Allocation'!$A:$D,4,0)</f>
        <v>#N/A</v>
      </c>
      <c r="I596" s="267" t="e">
        <f>VLOOKUP('Trial Balance'!$A596,'Code Allocation'!$A:$E,5,0)</f>
        <v>#N/A</v>
      </c>
      <c r="J596" s="268" t="e">
        <f>VLOOKUP('Trial Balance'!$A596,'Code Allocation'!$A:$F,6,0)</f>
        <v>#N/A</v>
      </c>
    </row>
    <row r="597" spans="1:10" ht="15" hidden="1" customHeight="1" x14ac:dyDescent="0.25">
      <c r="A597" s="644"/>
      <c r="B597" s="644"/>
      <c r="C597" s="644"/>
      <c r="D597" s="644"/>
      <c r="E597" s="305">
        <f>SUMIF(Adjustments!A:A,A597,Adjustments!C:C)</f>
        <v>0</v>
      </c>
      <c r="F597" s="278">
        <f t="shared" si="8"/>
        <v>0</v>
      </c>
      <c r="G597" s="263" t="e">
        <v>#N/A</v>
      </c>
      <c r="H597" s="266" t="e">
        <f>VLOOKUP('Trial Balance'!$A597,'Code Allocation'!$A:$D,4,0)</f>
        <v>#N/A</v>
      </c>
      <c r="I597" s="267" t="e">
        <f>VLOOKUP('Trial Balance'!$A597,'Code Allocation'!$A:$E,5,0)</f>
        <v>#N/A</v>
      </c>
      <c r="J597" s="268" t="e">
        <f>VLOOKUP('Trial Balance'!$A597,'Code Allocation'!$A:$F,6,0)</f>
        <v>#N/A</v>
      </c>
    </row>
    <row r="598" spans="1:10" ht="15" hidden="1" customHeight="1" x14ac:dyDescent="0.25">
      <c r="A598" s="644"/>
      <c r="B598" s="644"/>
      <c r="C598" s="644"/>
      <c r="D598" s="644"/>
      <c r="E598" s="305">
        <f>SUMIF(Adjustments!A:A,A598,Adjustments!C:C)</f>
        <v>0</v>
      </c>
      <c r="F598" s="278">
        <f t="shared" si="8"/>
        <v>0</v>
      </c>
      <c r="G598" s="263" t="e">
        <v>#N/A</v>
      </c>
      <c r="H598" s="266" t="e">
        <f>VLOOKUP('Trial Balance'!$A598,'Code Allocation'!$A:$D,4,0)</f>
        <v>#N/A</v>
      </c>
      <c r="I598" s="267" t="e">
        <f>VLOOKUP('Trial Balance'!$A598,'Code Allocation'!$A:$E,5,0)</f>
        <v>#N/A</v>
      </c>
      <c r="J598" s="268" t="e">
        <f>VLOOKUP('Trial Balance'!$A598,'Code Allocation'!$A:$F,6,0)</f>
        <v>#N/A</v>
      </c>
    </row>
    <row r="599" spans="1:10" ht="15" hidden="1" customHeight="1" x14ac:dyDescent="0.25">
      <c r="A599" s="644"/>
      <c r="B599" s="644"/>
      <c r="C599" s="645"/>
      <c r="D599" s="644"/>
      <c r="E599" s="305">
        <f>SUMIF(Adjustments!A:A,A599,Adjustments!C:C)</f>
        <v>0</v>
      </c>
      <c r="F599" s="278">
        <f t="shared" si="8"/>
        <v>0</v>
      </c>
      <c r="G599" s="263" t="e">
        <v>#N/A</v>
      </c>
      <c r="H599" s="266" t="e">
        <f>VLOOKUP('Trial Balance'!$A599,'Code Allocation'!$A:$D,4,0)</f>
        <v>#N/A</v>
      </c>
      <c r="I599" s="267" t="e">
        <f>VLOOKUP('Trial Balance'!$A599,'Code Allocation'!$A:$E,5,0)</f>
        <v>#N/A</v>
      </c>
      <c r="J599" s="268" t="e">
        <f>VLOOKUP('Trial Balance'!$A599,'Code Allocation'!$A:$F,6,0)</f>
        <v>#N/A</v>
      </c>
    </row>
    <row r="600" spans="1:10" ht="15" hidden="1" customHeight="1" x14ac:dyDescent="0.25">
      <c r="A600" s="644"/>
      <c r="B600" s="644"/>
      <c r="C600" s="644"/>
      <c r="D600" s="644"/>
      <c r="E600" s="305">
        <f>SUMIF(Adjustments!A:A,A600,Adjustments!C:C)</f>
        <v>0</v>
      </c>
      <c r="F600" s="278">
        <f t="shared" si="8"/>
        <v>0</v>
      </c>
      <c r="G600" s="263" t="e">
        <v>#N/A</v>
      </c>
      <c r="H600" s="266" t="e">
        <f>VLOOKUP('Trial Balance'!$A600,'Code Allocation'!$A:$D,4,0)</f>
        <v>#N/A</v>
      </c>
      <c r="I600" s="267" t="e">
        <f>VLOOKUP('Trial Balance'!$A600,'Code Allocation'!$A:$E,5,0)</f>
        <v>#N/A</v>
      </c>
      <c r="J600" s="268" t="e">
        <f>VLOOKUP('Trial Balance'!$A600,'Code Allocation'!$A:$F,6,0)</f>
        <v>#N/A</v>
      </c>
    </row>
    <row r="601" spans="1:10" ht="15" hidden="1" customHeight="1" x14ac:dyDescent="0.25">
      <c r="A601" s="644"/>
      <c r="B601" s="644"/>
      <c r="C601" s="644"/>
      <c r="D601" s="644"/>
      <c r="E601" s="305">
        <f>SUMIF(Adjustments!A:A,A601,Adjustments!C:C)</f>
        <v>0</v>
      </c>
      <c r="F601" s="278">
        <f t="shared" si="8"/>
        <v>0</v>
      </c>
      <c r="G601" s="263" t="e">
        <v>#N/A</v>
      </c>
      <c r="H601" s="266" t="e">
        <f>VLOOKUP('Trial Balance'!$A601,'Code Allocation'!$A:$D,4,0)</f>
        <v>#N/A</v>
      </c>
      <c r="I601" s="267" t="e">
        <f>VLOOKUP('Trial Balance'!$A601,'Code Allocation'!$A:$E,5,0)</f>
        <v>#N/A</v>
      </c>
      <c r="J601" s="268" t="e">
        <f>VLOOKUP('Trial Balance'!$A601,'Code Allocation'!$A:$F,6,0)</f>
        <v>#N/A</v>
      </c>
    </row>
    <row r="602" spans="1:10" ht="15" hidden="1" customHeight="1" x14ac:dyDescent="0.25">
      <c r="A602" s="644"/>
      <c r="B602" s="644"/>
      <c r="C602" s="644"/>
      <c r="D602" s="644"/>
      <c r="E602" s="305">
        <f>SUMIF(Adjustments!A:A,A602,Adjustments!C:C)</f>
        <v>0</v>
      </c>
      <c r="F602" s="278">
        <f t="shared" si="8"/>
        <v>0</v>
      </c>
      <c r="G602" s="263" t="e">
        <v>#N/A</v>
      </c>
      <c r="H602" s="266" t="e">
        <f>VLOOKUP('Trial Balance'!$A602,'Code Allocation'!$A:$D,4,0)</f>
        <v>#N/A</v>
      </c>
      <c r="I602" s="267" t="e">
        <f>VLOOKUP('Trial Balance'!$A602,'Code Allocation'!$A:$E,5,0)</f>
        <v>#N/A</v>
      </c>
      <c r="J602" s="268" t="e">
        <f>VLOOKUP('Trial Balance'!$A602,'Code Allocation'!$A:$F,6,0)</f>
        <v>#N/A</v>
      </c>
    </row>
    <row r="603" spans="1:10" ht="15" hidden="1" customHeight="1" x14ac:dyDescent="0.25">
      <c r="A603" s="644"/>
      <c r="B603" s="644"/>
      <c r="C603" s="644"/>
      <c r="D603" s="644"/>
      <c r="E603" s="305">
        <f>SUMIF(Adjustments!A:A,A603,Adjustments!C:C)</f>
        <v>0</v>
      </c>
      <c r="F603" s="278">
        <f t="shared" si="8"/>
        <v>0</v>
      </c>
      <c r="G603" s="263" t="e">
        <v>#N/A</v>
      </c>
      <c r="H603" s="266" t="e">
        <f>VLOOKUP('Trial Balance'!$A603,'Code Allocation'!$A:$D,4,0)</f>
        <v>#N/A</v>
      </c>
      <c r="I603" s="267" t="e">
        <f>VLOOKUP('Trial Balance'!$A603,'Code Allocation'!$A:$E,5,0)</f>
        <v>#N/A</v>
      </c>
      <c r="J603" s="268" t="e">
        <f>VLOOKUP('Trial Balance'!$A603,'Code Allocation'!$A:$F,6,0)</f>
        <v>#N/A</v>
      </c>
    </row>
    <row r="604" spans="1:10" ht="15" hidden="1" customHeight="1" x14ac:dyDescent="0.25">
      <c r="A604" s="644"/>
      <c r="B604" s="644"/>
      <c r="C604" s="644"/>
      <c r="D604" s="644"/>
      <c r="E604" s="305">
        <f>SUMIF(Adjustments!A:A,A604,Adjustments!C:C)</f>
        <v>0</v>
      </c>
      <c r="F604" s="278">
        <f t="shared" si="8"/>
        <v>0</v>
      </c>
      <c r="G604" s="263" t="e">
        <v>#N/A</v>
      </c>
      <c r="H604" s="266" t="e">
        <f>VLOOKUP('Trial Balance'!$A604,'Code Allocation'!$A:$D,4,0)</f>
        <v>#N/A</v>
      </c>
      <c r="I604" s="267" t="e">
        <f>VLOOKUP('Trial Balance'!$A604,'Code Allocation'!$A:$E,5,0)</f>
        <v>#N/A</v>
      </c>
      <c r="J604" s="268" t="e">
        <f>VLOOKUP('Trial Balance'!$A604,'Code Allocation'!$A:$F,6,0)</f>
        <v>#N/A</v>
      </c>
    </row>
    <row r="605" spans="1:10" ht="15" hidden="1" customHeight="1" x14ac:dyDescent="0.25">
      <c r="A605" s="644"/>
      <c r="B605" s="644"/>
      <c r="C605" s="644"/>
      <c r="D605" s="644"/>
      <c r="E605" s="305">
        <f>SUMIF(Adjustments!A:A,A605,Adjustments!C:C)</f>
        <v>0</v>
      </c>
      <c r="F605" s="278">
        <f t="shared" si="8"/>
        <v>0</v>
      </c>
      <c r="G605" s="263" t="e">
        <v>#N/A</v>
      </c>
      <c r="H605" s="266" t="e">
        <f>VLOOKUP('Trial Balance'!$A605,'Code Allocation'!$A:$D,4,0)</f>
        <v>#N/A</v>
      </c>
      <c r="I605" s="267" t="e">
        <f>VLOOKUP('Trial Balance'!$A605,'Code Allocation'!$A:$E,5,0)</f>
        <v>#N/A</v>
      </c>
      <c r="J605" s="268" t="e">
        <f>VLOOKUP('Trial Balance'!$A605,'Code Allocation'!$A:$F,6,0)</f>
        <v>#N/A</v>
      </c>
    </row>
    <row r="606" spans="1:10" ht="15" hidden="1" customHeight="1" x14ac:dyDescent="0.25">
      <c r="A606" s="644"/>
      <c r="B606" s="644"/>
      <c r="C606" s="644"/>
      <c r="D606" s="644"/>
      <c r="E606" s="305">
        <f>SUMIF(Adjustments!A:A,A606,Adjustments!C:C)</f>
        <v>0</v>
      </c>
      <c r="F606" s="278">
        <f t="shared" si="8"/>
        <v>0</v>
      </c>
      <c r="G606" s="263" t="e">
        <v>#N/A</v>
      </c>
      <c r="H606" s="266" t="e">
        <f>VLOOKUP('Trial Balance'!$A606,'Code Allocation'!$A:$D,4,0)</f>
        <v>#N/A</v>
      </c>
      <c r="I606" s="267" t="e">
        <f>VLOOKUP('Trial Balance'!$A606,'Code Allocation'!$A:$E,5,0)</f>
        <v>#N/A</v>
      </c>
      <c r="J606" s="268" t="e">
        <f>VLOOKUP('Trial Balance'!$A606,'Code Allocation'!$A:$F,6,0)</f>
        <v>#N/A</v>
      </c>
    </row>
    <row r="607" spans="1:10" ht="15" hidden="1" customHeight="1" x14ac:dyDescent="0.25">
      <c r="A607" s="644"/>
      <c r="B607" s="644"/>
      <c r="C607" s="645"/>
      <c r="D607" s="644"/>
      <c r="E607" s="305">
        <f>SUMIF(Adjustments!A:A,A607,Adjustments!C:C)</f>
        <v>0</v>
      </c>
      <c r="F607" s="278">
        <f t="shared" si="8"/>
        <v>0</v>
      </c>
      <c r="G607" s="263" t="e">
        <v>#N/A</v>
      </c>
      <c r="H607" s="266" t="e">
        <f>VLOOKUP('Trial Balance'!$A607,'Code Allocation'!$A:$D,4,0)</f>
        <v>#N/A</v>
      </c>
      <c r="I607" s="267" t="e">
        <f>VLOOKUP('Trial Balance'!$A607,'Code Allocation'!$A:$E,5,0)</f>
        <v>#N/A</v>
      </c>
      <c r="J607" s="268" t="e">
        <f>VLOOKUP('Trial Balance'!$A607,'Code Allocation'!$A:$F,6,0)</f>
        <v>#N/A</v>
      </c>
    </row>
    <row r="608" spans="1:10" ht="15" hidden="1" customHeight="1" x14ac:dyDescent="0.25">
      <c r="A608" s="644"/>
      <c r="B608" s="644"/>
      <c r="C608" s="644"/>
      <c r="D608" s="644"/>
      <c r="E608" s="305">
        <f>SUMIF(Adjustments!A:A,A608,Adjustments!C:C)</f>
        <v>0</v>
      </c>
      <c r="F608" s="278">
        <f t="shared" si="8"/>
        <v>0</v>
      </c>
      <c r="G608" s="263" t="e">
        <v>#N/A</v>
      </c>
      <c r="H608" s="266" t="e">
        <f>VLOOKUP('Trial Balance'!$A608,'Code Allocation'!$A:$D,4,0)</f>
        <v>#N/A</v>
      </c>
      <c r="I608" s="267" t="e">
        <f>VLOOKUP('Trial Balance'!$A608,'Code Allocation'!$A:$E,5,0)</f>
        <v>#N/A</v>
      </c>
      <c r="J608" s="268" t="e">
        <f>VLOOKUP('Trial Balance'!$A608,'Code Allocation'!$A:$F,6,0)</f>
        <v>#N/A</v>
      </c>
    </row>
    <row r="609" spans="1:10" ht="15" hidden="1" customHeight="1" x14ac:dyDescent="0.25">
      <c r="A609" s="644"/>
      <c r="B609" s="644"/>
      <c r="C609" s="645"/>
      <c r="D609" s="644"/>
      <c r="E609" s="305">
        <f>SUMIF(Adjustments!A:A,A609,Adjustments!C:C)</f>
        <v>0</v>
      </c>
      <c r="F609" s="278">
        <f t="shared" si="8"/>
        <v>0</v>
      </c>
      <c r="G609" s="263" t="e">
        <v>#N/A</v>
      </c>
      <c r="H609" s="266" t="e">
        <f>VLOOKUP('Trial Balance'!$A609,'Code Allocation'!$A:$D,4,0)</f>
        <v>#N/A</v>
      </c>
      <c r="I609" s="267" t="e">
        <f>VLOOKUP('Trial Balance'!$A609,'Code Allocation'!$A:$E,5,0)</f>
        <v>#N/A</v>
      </c>
      <c r="J609" s="268" t="e">
        <f>VLOOKUP('Trial Balance'!$A609,'Code Allocation'!$A:$F,6,0)</f>
        <v>#N/A</v>
      </c>
    </row>
    <row r="610" spans="1:10" ht="15" hidden="1" customHeight="1" x14ac:dyDescent="0.25">
      <c r="A610" s="644"/>
      <c r="B610" s="644"/>
      <c r="C610" s="645"/>
      <c r="D610" s="644"/>
      <c r="E610" s="305">
        <f>SUMIF(Adjustments!A:A,A610,Adjustments!C:C)</f>
        <v>0</v>
      </c>
      <c r="F610" s="278">
        <f t="shared" si="8"/>
        <v>0</v>
      </c>
      <c r="G610" s="263" t="e">
        <v>#N/A</v>
      </c>
      <c r="H610" s="266" t="e">
        <f>VLOOKUP('Trial Balance'!$A610,'Code Allocation'!$A:$D,4,0)</f>
        <v>#N/A</v>
      </c>
      <c r="I610" s="267" t="e">
        <f>VLOOKUP('Trial Balance'!$A610,'Code Allocation'!$A:$E,5,0)</f>
        <v>#N/A</v>
      </c>
      <c r="J610" s="268" t="e">
        <f>VLOOKUP('Trial Balance'!$A610,'Code Allocation'!$A:$F,6,0)</f>
        <v>#N/A</v>
      </c>
    </row>
    <row r="611" spans="1:10" ht="15" hidden="1" customHeight="1" x14ac:dyDescent="0.25">
      <c r="A611" s="644"/>
      <c r="B611" s="644"/>
      <c r="C611" s="644"/>
      <c r="D611" s="644"/>
      <c r="E611" s="305">
        <f>SUMIF(Adjustments!A:A,A611,Adjustments!C:C)</f>
        <v>0</v>
      </c>
      <c r="F611" s="278">
        <f t="shared" si="8"/>
        <v>0</v>
      </c>
      <c r="G611" s="263" t="e">
        <v>#N/A</v>
      </c>
      <c r="H611" s="266" t="e">
        <f>VLOOKUP('Trial Balance'!$A611,'Code Allocation'!$A:$D,4,0)</f>
        <v>#N/A</v>
      </c>
      <c r="I611" s="267" t="e">
        <f>VLOOKUP('Trial Balance'!$A611,'Code Allocation'!$A:$E,5,0)</f>
        <v>#N/A</v>
      </c>
      <c r="J611" s="268" t="e">
        <f>VLOOKUP('Trial Balance'!$A611,'Code Allocation'!$A:$F,6,0)</f>
        <v>#N/A</v>
      </c>
    </row>
    <row r="612" spans="1:10" ht="15" hidden="1" customHeight="1" x14ac:dyDescent="0.25">
      <c r="A612" s="644"/>
      <c r="B612" s="644"/>
      <c r="C612" s="644"/>
      <c r="D612" s="644"/>
      <c r="E612" s="305">
        <f>SUMIF(Adjustments!A:A,A612,Adjustments!C:C)</f>
        <v>0</v>
      </c>
      <c r="F612" s="278">
        <f t="shared" si="8"/>
        <v>0</v>
      </c>
      <c r="G612" s="263" t="e">
        <v>#N/A</v>
      </c>
      <c r="H612" s="266" t="e">
        <f>VLOOKUP('Trial Balance'!$A612,'Code Allocation'!$A:$D,4,0)</f>
        <v>#N/A</v>
      </c>
      <c r="I612" s="267" t="e">
        <f>VLOOKUP('Trial Balance'!$A612,'Code Allocation'!$A:$E,5,0)</f>
        <v>#N/A</v>
      </c>
      <c r="J612" s="268" t="e">
        <f>VLOOKUP('Trial Balance'!$A612,'Code Allocation'!$A:$F,6,0)</f>
        <v>#N/A</v>
      </c>
    </row>
    <row r="613" spans="1:10" ht="15" hidden="1" customHeight="1" x14ac:dyDescent="0.25">
      <c r="A613" s="644"/>
      <c r="B613" s="644"/>
      <c r="C613" s="645"/>
      <c r="D613" s="644"/>
      <c r="E613" s="305">
        <f>SUMIF(Adjustments!A:A,A613,Adjustments!C:C)</f>
        <v>0</v>
      </c>
      <c r="F613" s="278">
        <f t="shared" si="8"/>
        <v>0</v>
      </c>
      <c r="G613" s="263" t="e">
        <v>#N/A</v>
      </c>
      <c r="H613" s="266" t="e">
        <f>VLOOKUP('Trial Balance'!$A613,'Code Allocation'!$A:$D,4,0)</f>
        <v>#N/A</v>
      </c>
      <c r="I613" s="267" t="e">
        <f>VLOOKUP('Trial Balance'!$A613,'Code Allocation'!$A:$E,5,0)</f>
        <v>#N/A</v>
      </c>
      <c r="J613" s="268" t="e">
        <f>VLOOKUP('Trial Balance'!$A613,'Code Allocation'!$A:$F,6,0)</f>
        <v>#N/A</v>
      </c>
    </row>
    <row r="614" spans="1:10" ht="15" hidden="1" customHeight="1" x14ac:dyDescent="0.25">
      <c r="A614" s="644"/>
      <c r="B614" s="644"/>
      <c r="C614" s="644"/>
      <c r="D614" s="644"/>
      <c r="E614" s="305">
        <f>SUMIF(Adjustments!A:A,A614,Adjustments!C:C)</f>
        <v>0</v>
      </c>
      <c r="F614" s="278">
        <f t="shared" si="8"/>
        <v>0</v>
      </c>
      <c r="G614" s="263" t="e">
        <v>#N/A</v>
      </c>
      <c r="H614" s="266" t="e">
        <f>VLOOKUP('Trial Balance'!$A614,'Code Allocation'!$A:$D,4,0)</f>
        <v>#N/A</v>
      </c>
      <c r="I614" s="267" t="e">
        <f>VLOOKUP('Trial Balance'!$A614,'Code Allocation'!$A:$E,5,0)</f>
        <v>#N/A</v>
      </c>
      <c r="J614" s="268" t="e">
        <f>VLOOKUP('Trial Balance'!$A614,'Code Allocation'!$A:$F,6,0)</f>
        <v>#N/A</v>
      </c>
    </row>
    <row r="615" spans="1:10" ht="15" hidden="1" customHeight="1" x14ac:dyDescent="0.25">
      <c r="A615" s="644"/>
      <c r="B615" s="644"/>
      <c r="C615" s="644"/>
      <c r="D615" s="644"/>
      <c r="E615" s="305">
        <f>SUMIF(Adjustments!A:A,A615,Adjustments!C:C)</f>
        <v>0</v>
      </c>
      <c r="F615" s="278">
        <f t="shared" si="8"/>
        <v>0</v>
      </c>
      <c r="G615" s="263" t="e">
        <v>#N/A</v>
      </c>
      <c r="H615" s="266" t="e">
        <f>VLOOKUP('Trial Balance'!$A615,'Code Allocation'!$A:$D,4,0)</f>
        <v>#N/A</v>
      </c>
      <c r="I615" s="267" t="e">
        <f>VLOOKUP('Trial Balance'!$A615,'Code Allocation'!$A:$E,5,0)</f>
        <v>#N/A</v>
      </c>
      <c r="J615" s="268" t="e">
        <f>VLOOKUP('Trial Balance'!$A615,'Code Allocation'!$A:$F,6,0)</f>
        <v>#N/A</v>
      </c>
    </row>
    <row r="616" spans="1:10" ht="15" hidden="1" customHeight="1" x14ac:dyDescent="0.25">
      <c r="A616" s="644"/>
      <c r="B616" s="644"/>
      <c r="C616" s="644"/>
      <c r="D616" s="644"/>
      <c r="E616" s="305">
        <f>SUMIF(Adjustments!A:A,A616,Adjustments!C:C)</f>
        <v>0</v>
      </c>
      <c r="F616" s="278">
        <f t="shared" si="8"/>
        <v>0</v>
      </c>
      <c r="G616" s="263" t="e">
        <v>#N/A</v>
      </c>
      <c r="H616" s="266" t="e">
        <f>VLOOKUP('Trial Balance'!$A616,'Code Allocation'!$A:$D,4,0)</f>
        <v>#N/A</v>
      </c>
      <c r="I616" s="267" t="e">
        <f>VLOOKUP('Trial Balance'!$A616,'Code Allocation'!$A:$E,5,0)</f>
        <v>#N/A</v>
      </c>
      <c r="J616" s="268" t="e">
        <f>VLOOKUP('Trial Balance'!$A616,'Code Allocation'!$A:$F,6,0)</f>
        <v>#N/A</v>
      </c>
    </row>
    <row r="617" spans="1:10" ht="15" hidden="1" customHeight="1" x14ac:dyDescent="0.25">
      <c r="A617" s="644"/>
      <c r="B617" s="644"/>
      <c r="C617" s="644"/>
      <c r="D617" s="644"/>
      <c r="E617" s="305">
        <f>SUMIF(Adjustments!A:A,A617,Adjustments!C:C)</f>
        <v>0</v>
      </c>
      <c r="F617" s="278">
        <f t="shared" si="8"/>
        <v>0</v>
      </c>
      <c r="G617" s="263" t="e">
        <v>#N/A</v>
      </c>
      <c r="H617" s="266" t="e">
        <f>VLOOKUP('Trial Balance'!$A617,'Code Allocation'!$A:$D,4,0)</f>
        <v>#N/A</v>
      </c>
      <c r="I617" s="267" t="e">
        <f>VLOOKUP('Trial Balance'!$A617,'Code Allocation'!$A:$E,5,0)</f>
        <v>#N/A</v>
      </c>
      <c r="J617" s="268" t="e">
        <f>VLOOKUP('Trial Balance'!$A617,'Code Allocation'!$A:$F,6,0)</f>
        <v>#N/A</v>
      </c>
    </row>
    <row r="618" spans="1:10" ht="15" hidden="1" customHeight="1" x14ac:dyDescent="0.25">
      <c r="A618" s="644"/>
      <c r="B618" s="644"/>
      <c r="C618" s="644"/>
      <c r="D618" s="645"/>
      <c r="E618" s="305">
        <f>SUMIF(Adjustments!A:A,A618,Adjustments!C:C)</f>
        <v>0</v>
      </c>
      <c r="F618" s="278">
        <f t="shared" si="8"/>
        <v>0</v>
      </c>
      <c r="G618" s="263" t="e">
        <v>#N/A</v>
      </c>
      <c r="H618" s="266" t="e">
        <f>VLOOKUP('Trial Balance'!$A618,'Code Allocation'!$A:$D,4,0)</f>
        <v>#N/A</v>
      </c>
      <c r="I618" s="267" t="e">
        <f>VLOOKUP('Trial Balance'!$A618,'Code Allocation'!$A:$E,5,0)</f>
        <v>#N/A</v>
      </c>
      <c r="J618" s="268" t="e">
        <f>VLOOKUP('Trial Balance'!$A618,'Code Allocation'!$A:$F,6,0)</f>
        <v>#N/A</v>
      </c>
    </row>
    <row r="619" spans="1:10" ht="15" hidden="1" customHeight="1" x14ac:dyDescent="0.25">
      <c r="A619" s="644"/>
      <c r="B619" s="644"/>
      <c r="C619" s="645"/>
      <c r="D619" s="644"/>
      <c r="E619" s="305">
        <f>SUMIF(Adjustments!A:A,A619,Adjustments!C:C)</f>
        <v>0</v>
      </c>
      <c r="F619" s="278">
        <f t="shared" si="8"/>
        <v>0</v>
      </c>
      <c r="G619" s="263" t="e">
        <v>#N/A</v>
      </c>
      <c r="H619" s="266" t="e">
        <f>VLOOKUP('Trial Balance'!$A619,'Code Allocation'!$A:$D,4,0)</f>
        <v>#N/A</v>
      </c>
      <c r="I619" s="267" t="e">
        <f>VLOOKUP('Trial Balance'!$A619,'Code Allocation'!$A:$E,5,0)</f>
        <v>#N/A</v>
      </c>
      <c r="J619" s="268" t="e">
        <f>VLOOKUP('Trial Balance'!$A619,'Code Allocation'!$A:$F,6,0)</f>
        <v>#N/A</v>
      </c>
    </row>
    <row r="620" spans="1:10" ht="15" hidden="1" customHeight="1" x14ac:dyDescent="0.25">
      <c r="A620" s="644"/>
      <c r="B620" s="644"/>
      <c r="C620" s="645"/>
      <c r="D620" s="644"/>
      <c r="E620" s="305">
        <f>SUMIF(Adjustments!A:A,A620,Adjustments!C:C)</f>
        <v>0</v>
      </c>
      <c r="F620" s="278">
        <f t="shared" ref="F620:F683" si="9">C620-D620+E620</f>
        <v>0</v>
      </c>
      <c r="G620" s="263" t="e">
        <v>#N/A</v>
      </c>
      <c r="H620" s="266" t="e">
        <f>VLOOKUP('Trial Balance'!$A620,'Code Allocation'!$A:$D,4,0)</f>
        <v>#N/A</v>
      </c>
      <c r="I620" s="267" t="e">
        <f>VLOOKUP('Trial Balance'!$A620,'Code Allocation'!$A:$E,5,0)</f>
        <v>#N/A</v>
      </c>
      <c r="J620" s="268" t="e">
        <f>VLOOKUP('Trial Balance'!$A620,'Code Allocation'!$A:$F,6,0)</f>
        <v>#N/A</v>
      </c>
    </row>
    <row r="621" spans="1:10" ht="15" hidden="1" customHeight="1" x14ac:dyDescent="0.25">
      <c r="A621" s="644"/>
      <c r="B621" s="644"/>
      <c r="C621" s="645"/>
      <c r="D621" s="644"/>
      <c r="E621" s="305">
        <f>SUMIF(Adjustments!A:A,A621,Adjustments!C:C)</f>
        <v>0</v>
      </c>
      <c r="F621" s="278">
        <f t="shared" si="9"/>
        <v>0</v>
      </c>
      <c r="G621" s="263" t="e">
        <v>#N/A</v>
      </c>
      <c r="H621" s="266" t="e">
        <f>VLOOKUP('Trial Balance'!$A621,'Code Allocation'!$A:$D,4,0)</f>
        <v>#N/A</v>
      </c>
      <c r="I621" s="267" t="e">
        <f>VLOOKUP('Trial Balance'!$A621,'Code Allocation'!$A:$E,5,0)</f>
        <v>#N/A</v>
      </c>
      <c r="J621" s="268" t="e">
        <f>VLOOKUP('Trial Balance'!$A621,'Code Allocation'!$A:$F,6,0)</f>
        <v>#N/A</v>
      </c>
    </row>
    <row r="622" spans="1:10" ht="15" hidden="1" customHeight="1" x14ac:dyDescent="0.25">
      <c r="A622" s="644"/>
      <c r="B622" s="644"/>
      <c r="C622" s="645"/>
      <c r="D622" s="644"/>
      <c r="E622" s="305">
        <f>SUMIF(Adjustments!A:A,A622,Adjustments!C:C)</f>
        <v>0</v>
      </c>
      <c r="F622" s="278">
        <f t="shared" si="9"/>
        <v>0</v>
      </c>
      <c r="G622" s="263" t="e">
        <v>#N/A</v>
      </c>
      <c r="H622" s="266" t="e">
        <f>VLOOKUP('Trial Balance'!$A622,'Code Allocation'!$A:$D,4,0)</f>
        <v>#N/A</v>
      </c>
      <c r="I622" s="267" t="e">
        <f>VLOOKUP('Trial Balance'!$A622,'Code Allocation'!$A:$E,5,0)</f>
        <v>#N/A</v>
      </c>
      <c r="J622" s="268" t="e">
        <f>VLOOKUP('Trial Balance'!$A622,'Code Allocation'!$A:$F,6,0)</f>
        <v>#N/A</v>
      </c>
    </row>
    <row r="623" spans="1:10" ht="15" hidden="1" customHeight="1" x14ac:dyDescent="0.25">
      <c r="A623" s="644"/>
      <c r="B623" s="644"/>
      <c r="C623" s="645"/>
      <c r="D623" s="644"/>
      <c r="E623" s="305">
        <f>SUMIF(Adjustments!A:A,A623,Adjustments!C:C)</f>
        <v>0</v>
      </c>
      <c r="F623" s="278">
        <f t="shared" si="9"/>
        <v>0</v>
      </c>
      <c r="G623" s="263" t="e">
        <v>#N/A</v>
      </c>
      <c r="H623" s="266" t="e">
        <f>VLOOKUP('Trial Balance'!$A623,'Code Allocation'!$A:$D,4,0)</f>
        <v>#N/A</v>
      </c>
      <c r="I623" s="267" t="e">
        <f>VLOOKUP('Trial Balance'!$A623,'Code Allocation'!$A:$E,5,0)</f>
        <v>#N/A</v>
      </c>
      <c r="J623" s="268" t="e">
        <f>VLOOKUP('Trial Balance'!$A623,'Code Allocation'!$A:$F,6,0)</f>
        <v>#N/A</v>
      </c>
    </row>
    <row r="624" spans="1:10" ht="15" hidden="1" customHeight="1" x14ac:dyDescent="0.25">
      <c r="A624" s="644"/>
      <c r="B624" s="644"/>
      <c r="C624" s="644"/>
      <c r="D624" s="644"/>
      <c r="E624" s="305">
        <f>SUMIF(Adjustments!A:A,A624,Adjustments!C:C)</f>
        <v>0</v>
      </c>
      <c r="F624" s="278">
        <f t="shared" si="9"/>
        <v>0</v>
      </c>
      <c r="G624" s="263" t="e">
        <v>#N/A</v>
      </c>
      <c r="H624" s="266" t="e">
        <f>VLOOKUP('Trial Balance'!$A624,'Code Allocation'!$A:$D,4,0)</f>
        <v>#N/A</v>
      </c>
      <c r="I624" s="267" t="e">
        <f>VLOOKUP('Trial Balance'!$A624,'Code Allocation'!$A:$E,5,0)</f>
        <v>#N/A</v>
      </c>
      <c r="J624" s="268" t="e">
        <f>VLOOKUP('Trial Balance'!$A624,'Code Allocation'!$A:$F,6,0)</f>
        <v>#N/A</v>
      </c>
    </row>
    <row r="625" spans="1:10" ht="15" hidden="1" customHeight="1" x14ac:dyDescent="0.25">
      <c r="A625" s="644"/>
      <c r="B625" s="644"/>
      <c r="C625" s="645"/>
      <c r="D625" s="644"/>
      <c r="E625" s="305">
        <f>SUMIF(Adjustments!A:A,A625,Adjustments!C:C)</f>
        <v>0</v>
      </c>
      <c r="F625" s="278">
        <f t="shared" si="9"/>
        <v>0</v>
      </c>
      <c r="G625" s="263" t="e">
        <v>#N/A</v>
      </c>
      <c r="H625" s="266" t="e">
        <f>VLOOKUP('Trial Balance'!$A625,'Code Allocation'!$A:$D,4,0)</f>
        <v>#N/A</v>
      </c>
      <c r="I625" s="267" t="e">
        <f>VLOOKUP('Trial Balance'!$A625,'Code Allocation'!$A:$E,5,0)</f>
        <v>#N/A</v>
      </c>
      <c r="J625" s="268" t="e">
        <f>VLOOKUP('Trial Balance'!$A625,'Code Allocation'!$A:$F,6,0)</f>
        <v>#N/A</v>
      </c>
    </row>
    <row r="626" spans="1:10" ht="15" hidden="1" customHeight="1" x14ac:dyDescent="0.25">
      <c r="A626" s="644"/>
      <c r="B626" s="644"/>
      <c r="C626" s="645"/>
      <c r="D626" s="644"/>
      <c r="E626" s="305">
        <f>SUMIF(Adjustments!A:A,A626,Adjustments!C:C)</f>
        <v>0</v>
      </c>
      <c r="F626" s="278">
        <f t="shared" si="9"/>
        <v>0</v>
      </c>
      <c r="G626" s="263" t="e">
        <v>#N/A</v>
      </c>
      <c r="H626" s="266" t="e">
        <f>VLOOKUP('Trial Balance'!$A626,'Code Allocation'!$A:$D,4,0)</f>
        <v>#N/A</v>
      </c>
      <c r="I626" s="267" t="e">
        <f>VLOOKUP('Trial Balance'!$A626,'Code Allocation'!$A:$E,5,0)</f>
        <v>#N/A</v>
      </c>
      <c r="J626" s="268" t="e">
        <f>VLOOKUP('Trial Balance'!$A626,'Code Allocation'!$A:$F,6,0)</f>
        <v>#N/A</v>
      </c>
    </row>
    <row r="627" spans="1:10" ht="15" hidden="1" customHeight="1" x14ac:dyDescent="0.25">
      <c r="A627" s="644"/>
      <c r="B627" s="644"/>
      <c r="C627" s="644"/>
      <c r="D627" s="644"/>
      <c r="E627" s="305">
        <f>SUMIF(Adjustments!A:A,A627,Adjustments!C:C)</f>
        <v>0</v>
      </c>
      <c r="F627" s="278">
        <f t="shared" si="9"/>
        <v>0</v>
      </c>
      <c r="G627" s="263" t="e">
        <v>#N/A</v>
      </c>
      <c r="H627" s="266" t="e">
        <f>VLOOKUP('Trial Balance'!$A627,'Code Allocation'!$A:$D,4,0)</f>
        <v>#N/A</v>
      </c>
      <c r="I627" s="267" t="e">
        <f>VLOOKUP('Trial Balance'!$A627,'Code Allocation'!$A:$E,5,0)</f>
        <v>#N/A</v>
      </c>
      <c r="J627" s="268" t="e">
        <f>VLOOKUP('Trial Balance'!$A627,'Code Allocation'!$A:$F,6,0)</f>
        <v>#N/A</v>
      </c>
    </row>
    <row r="628" spans="1:10" ht="15" hidden="1" customHeight="1" x14ac:dyDescent="0.25">
      <c r="A628" s="644"/>
      <c r="B628" s="644"/>
      <c r="C628" s="645"/>
      <c r="D628" s="644"/>
      <c r="E628" s="305">
        <f>SUMIF(Adjustments!A:A,A628,Adjustments!C:C)</f>
        <v>0</v>
      </c>
      <c r="F628" s="278">
        <f t="shared" si="9"/>
        <v>0</v>
      </c>
      <c r="G628" s="263" t="e">
        <v>#N/A</v>
      </c>
      <c r="H628" s="266" t="e">
        <f>VLOOKUP('Trial Balance'!$A628,'Code Allocation'!$A:$D,4,0)</f>
        <v>#N/A</v>
      </c>
      <c r="I628" s="267" t="e">
        <f>VLOOKUP('Trial Balance'!$A628,'Code Allocation'!$A:$E,5,0)</f>
        <v>#N/A</v>
      </c>
      <c r="J628" s="268" t="e">
        <f>VLOOKUP('Trial Balance'!$A628,'Code Allocation'!$A:$F,6,0)</f>
        <v>#N/A</v>
      </c>
    </row>
    <row r="629" spans="1:10" ht="15" hidden="1" customHeight="1" x14ac:dyDescent="0.25">
      <c r="A629" s="644"/>
      <c r="B629" s="644"/>
      <c r="C629" s="645"/>
      <c r="D629" s="644"/>
      <c r="E629" s="305">
        <f>SUMIF(Adjustments!A:A,A629,Adjustments!C:C)</f>
        <v>0</v>
      </c>
      <c r="F629" s="278">
        <f t="shared" si="9"/>
        <v>0</v>
      </c>
      <c r="G629" s="263" t="e">
        <v>#N/A</v>
      </c>
      <c r="H629" s="266" t="e">
        <f>VLOOKUP('Trial Balance'!$A629,'Code Allocation'!$A:$D,4,0)</f>
        <v>#N/A</v>
      </c>
      <c r="I629" s="267" t="e">
        <f>VLOOKUP('Trial Balance'!$A629,'Code Allocation'!$A:$E,5,0)</f>
        <v>#N/A</v>
      </c>
      <c r="J629" s="268" t="e">
        <f>VLOOKUP('Trial Balance'!$A629,'Code Allocation'!$A:$F,6,0)</f>
        <v>#N/A</v>
      </c>
    </row>
    <row r="630" spans="1:10" ht="15" hidden="1" customHeight="1" x14ac:dyDescent="0.25">
      <c r="A630" s="644"/>
      <c r="B630" s="644"/>
      <c r="C630" s="645"/>
      <c r="D630" s="644"/>
      <c r="E630" s="305">
        <f>SUMIF(Adjustments!A:A,A630,Adjustments!C:C)</f>
        <v>0</v>
      </c>
      <c r="F630" s="278">
        <f t="shared" si="9"/>
        <v>0</v>
      </c>
      <c r="G630" s="263" t="e">
        <v>#N/A</v>
      </c>
      <c r="H630" s="266" t="e">
        <f>VLOOKUP('Trial Balance'!$A630,'Code Allocation'!$A:$D,4,0)</f>
        <v>#N/A</v>
      </c>
      <c r="I630" s="267" t="e">
        <f>VLOOKUP('Trial Balance'!$A630,'Code Allocation'!$A:$E,5,0)</f>
        <v>#N/A</v>
      </c>
      <c r="J630" s="268" t="e">
        <f>VLOOKUP('Trial Balance'!$A630,'Code Allocation'!$A:$F,6,0)</f>
        <v>#N/A</v>
      </c>
    </row>
    <row r="631" spans="1:10" ht="15" hidden="1" customHeight="1" x14ac:dyDescent="0.25">
      <c r="A631" s="644"/>
      <c r="B631" s="644"/>
      <c r="C631" s="645"/>
      <c r="D631" s="644"/>
      <c r="E631" s="305">
        <f>SUMIF(Adjustments!A:A,A631,Adjustments!C:C)</f>
        <v>0</v>
      </c>
      <c r="F631" s="278">
        <f t="shared" si="9"/>
        <v>0</v>
      </c>
      <c r="G631" s="263" t="e">
        <v>#N/A</v>
      </c>
      <c r="H631" s="266" t="e">
        <f>VLOOKUP('Trial Balance'!$A631,'Code Allocation'!$A:$D,4,0)</f>
        <v>#N/A</v>
      </c>
      <c r="I631" s="267" t="e">
        <f>VLOOKUP('Trial Balance'!$A631,'Code Allocation'!$A:$E,5,0)</f>
        <v>#N/A</v>
      </c>
      <c r="J631" s="268" t="e">
        <f>VLOOKUP('Trial Balance'!$A631,'Code Allocation'!$A:$F,6,0)</f>
        <v>#N/A</v>
      </c>
    </row>
    <row r="632" spans="1:10" ht="15" hidden="1" customHeight="1" x14ac:dyDescent="0.25">
      <c r="A632" s="644"/>
      <c r="B632" s="644"/>
      <c r="C632" s="645"/>
      <c r="D632" s="644"/>
      <c r="E632" s="305">
        <f>SUMIF(Adjustments!A:A,A632,Adjustments!C:C)</f>
        <v>0</v>
      </c>
      <c r="F632" s="278">
        <f t="shared" si="9"/>
        <v>0</v>
      </c>
      <c r="G632" s="263" t="e">
        <v>#N/A</v>
      </c>
      <c r="H632" s="266" t="e">
        <f>VLOOKUP('Trial Balance'!$A632,'Code Allocation'!$A:$D,4,0)</f>
        <v>#N/A</v>
      </c>
      <c r="I632" s="267" t="e">
        <f>VLOOKUP('Trial Balance'!$A632,'Code Allocation'!$A:$E,5,0)</f>
        <v>#N/A</v>
      </c>
      <c r="J632" s="268" t="e">
        <f>VLOOKUP('Trial Balance'!$A632,'Code Allocation'!$A:$F,6,0)</f>
        <v>#N/A</v>
      </c>
    </row>
    <row r="633" spans="1:10" ht="15" hidden="1" customHeight="1" x14ac:dyDescent="0.25">
      <c r="A633" s="644"/>
      <c r="B633" s="644"/>
      <c r="C633" s="644"/>
      <c r="D633" s="644"/>
      <c r="E633" s="305">
        <f>SUMIF(Adjustments!A:A,A633,Adjustments!C:C)</f>
        <v>0</v>
      </c>
      <c r="F633" s="278">
        <f t="shared" si="9"/>
        <v>0</v>
      </c>
      <c r="G633" s="263" t="e">
        <v>#N/A</v>
      </c>
      <c r="H633" s="266" t="e">
        <f>VLOOKUP('Trial Balance'!$A633,'Code Allocation'!$A:$D,4,0)</f>
        <v>#N/A</v>
      </c>
      <c r="I633" s="267" t="e">
        <f>VLOOKUP('Trial Balance'!$A633,'Code Allocation'!$A:$E,5,0)</f>
        <v>#N/A</v>
      </c>
      <c r="J633" s="268" t="e">
        <f>VLOOKUP('Trial Balance'!$A633,'Code Allocation'!$A:$F,6,0)</f>
        <v>#N/A</v>
      </c>
    </row>
    <row r="634" spans="1:10" ht="15" hidden="1" customHeight="1" x14ac:dyDescent="0.25">
      <c r="A634" s="644"/>
      <c r="B634" s="644"/>
      <c r="C634" s="645"/>
      <c r="D634" s="644"/>
      <c r="E634" s="305">
        <f>SUMIF(Adjustments!A:A,A634,Adjustments!C:C)</f>
        <v>0</v>
      </c>
      <c r="F634" s="278">
        <f t="shared" si="9"/>
        <v>0</v>
      </c>
      <c r="G634" s="263" t="e">
        <v>#N/A</v>
      </c>
      <c r="H634" s="266" t="e">
        <f>VLOOKUP('Trial Balance'!$A634,'Code Allocation'!$A:$D,4,0)</f>
        <v>#N/A</v>
      </c>
      <c r="I634" s="267" t="e">
        <f>VLOOKUP('Trial Balance'!$A634,'Code Allocation'!$A:$E,5,0)</f>
        <v>#N/A</v>
      </c>
      <c r="J634" s="268" t="e">
        <f>VLOOKUP('Trial Balance'!$A634,'Code Allocation'!$A:$F,6,0)</f>
        <v>#N/A</v>
      </c>
    </row>
    <row r="635" spans="1:10" ht="15" hidden="1" customHeight="1" x14ac:dyDescent="0.25">
      <c r="A635" s="644"/>
      <c r="B635" s="644"/>
      <c r="C635" s="645"/>
      <c r="D635" s="644"/>
      <c r="E635" s="305">
        <f>SUMIF(Adjustments!A:A,A635,Adjustments!C:C)</f>
        <v>0</v>
      </c>
      <c r="F635" s="278">
        <f t="shared" si="9"/>
        <v>0</v>
      </c>
      <c r="G635" s="263" t="e">
        <v>#N/A</v>
      </c>
      <c r="H635" s="266" t="e">
        <f>VLOOKUP('Trial Balance'!$A635,'Code Allocation'!$A:$D,4,0)</f>
        <v>#N/A</v>
      </c>
      <c r="I635" s="267" t="e">
        <f>VLOOKUP('Trial Balance'!$A635,'Code Allocation'!$A:$E,5,0)</f>
        <v>#N/A</v>
      </c>
      <c r="J635" s="268" t="e">
        <f>VLOOKUP('Trial Balance'!$A635,'Code Allocation'!$A:$F,6,0)</f>
        <v>#N/A</v>
      </c>
    </row>
    <row r="636" spans="1:10" ht="15" hidden="1" customHeight="1" x14ac:dyDescent="0.25">
      <c r="A636" s="644"/>
      <c r="B636" s="644"/>
      <c r="C636" s="644"/>
      <c r="D636" s="644"/>
      <c r="E636" s="305">
        <f>SUMIF(Adjustments!A:A,A636,Adjustments!C:C)</f>
        <v>0</v>
      </c>
      <c r="F636" s="278">
        <f t="shared" si="9"/>
        <v>0</v>
      </c>
      <c r="G636" s="263" t="e">
        <v>#N/A</v>
      </c>
      <c r="H636" s="266" t="e">
        <f>VLOOKUP('Trial Balance'!$A636,'Code Allocation'!$A:$D,4,0)</f>
        <v>#N/A</v>
      </c>
      <c r="I636" s="267" t="e">
        <f>VLOOKUP('Trial Balance'!$A636,'Code Allocation'!$A:$E,5,0)</f>
        <v>#N/A</v>
      </c>
      <c r="J636" s="268" t="e">
        <f>VLOOKUP('Trial Balance'!$A636,'Code Allocation'!$A:$F,6,0)</f>
        <v>#N/A</v>
      </c>
    </row>
    <row r="637" spans="1:10" ht="15" hidden="1" customHeight="1" x14ac:dyDescent="0.25">
      <c r="A637" s="644"/>
      <c r="B637" s="644"/>
      <c r="C637" s="644"/>
      <c r="D637" s="644"/>
      <c r="E637" s="305">
        <f>SUMIF(Adjustments!A:A,A637,Adjustments!C:C)</f>
        <v>0</v>
      </c>
      <c r="F637" s="278">
        <f t="shared" si="9"/>
        <v>0</v>
      </c>
      <c r="G637" s="263" t="e">
        <v>#N/A</v>
      </c>
      <c r="H637" s="266" t="e">
        <f>VLOOKUP('Trial Balance'!$A637,'Code Allocation'!$A:$D,4,0)</f>
        <v>#N/A</v>
      </c>
      <c r="I637" s="267" t="e">
        <f>VLOOKUP('Trial Balance'!$A637,'Code Allocation'!$A:$E,5,0)</f>
        <v>#N/A</v>
      </c>
      <c r="J637" s="268" t="e">
        <f>VLOOKUP('Trial Balance'!$A637,'Code Allocation'!$A:$F,6,0)</f>
        <v>#N/A</v>
      </c>
    </row>
    <row r="638" spans="1:10" ht="15" hidden="1" customHeight="1" x14ac:dyDescent="0.25">
      <c r="A638" s="644"/>
      <c r="B638" s="644"/>
      <c r="C638" s="645"/>
      <c r="D638" s="644"/>
      <c r="E638" s="305">
        <f>SUMIF(Adjustments!A:A,A638,Adjustments!C:C)</f>
        <v>0</v>
      </c>
      <c r="F638" s="278">
        <f t="shared" si="9"/>
        <v>0</v>
      </c>
      <c r="G638" s="263" t="e">
        <v>#N/A</v>
      </c>
      <c r="H638" s="266" t="e">
        <f>VLOOKUP('Trial Balance'!$A638,'Code Allocation'!$A:$D,4,0)</f>
        <v>#N/A</v>
      </c>
      <c r="I638" s="267" t="e">
        <f>VLOOKUP('Trial Balance'!$A638,'Code Allocation'!$A:$E,5,0)</f>
        <v>#N/A</v>
      </c>
      <c r="J638" s="268" t="e">
        <f>VLOOKUP('Trial Balance'!$A638,'Code Allocation'!$A:$F,6,0)</f>
        <v>#N/A</v>
      </c>
    </row>
    <row r="639" spans="1:10" ht="15" hidden="1" customHeight="1" x14ac:dyDescent="0.25">
      <c r="A639" s="644"/>
      <c r="B639" s="644"/>
      <c r="C639" s="644"/>
      <c r="D639" s="645"/>
      <c r="E639" s="305">
        <f>SUMIF(Adjustments!A:A,A639,Adjustments!C:C)</f>
        <v>0</v>
      </c>
      <c r="F639" s="278">
        <f t="shared" si="9"/>
        <v>0</v>
      </c>
      <c r="G639" s="263" t="e">
        <v>#N/A</v>
      </c>
      <c r="H639" s="266" t="e">
        <f>VLOOKUP('Trial Balance'!$A639,'Code Allocation'!$A:$D,4,0)</f>
        <v>#N/A</v>
      </c>
      <c r="I639" s="267" t="e">
        <f>VLOOKUP('Trial Balance'!$A639,'Code Allocation'!$A:$E,5,0)</f>
        <v>#N/A</v>
      </c>
      <c r="J639" s="268" t="e">
        <f>VLOOKUP('Trial Balance'!$A639,'Code Allocation'!$A:$F,6,0)</f>
        <v>#N/A</v>
      </c>
    </row>
    <row r="640" spans="1:10" ht="15" hidden="1" customHeight="1" x14ac:dyDescent="0.25">
      <c r="A640" s="644"/>
      <c r="B640" s="644"/>
      <c r="C640" s="644"/>
      <c r="D640" s="645"/>
      <c r="E640" s="305">
        <f>SUMIF(Adjustments!A:A,A640,Adjustments!C:C)</f>
        <v>0</v>
      </c>
      <c r="F640" s="278">
        <f t="shared" si="9"/>
        <v>0</v>
      </c>
      <c r="G640" s="263" t="e">
        <v>#N/A</v>
      </c>
      <c r="H640" s="266" t="e">
        <f>VLOOKUP('Trial Balance'!$A640,'Code Allocation'!$A:$D,4,0)</f>
        <v>#N/A</v>
      </c>
      <c r="I640" s="267" t="e">
        <f>VLOOKUP('Trial Balance'!$A640,'Code Allocation'!$A:$E,5,0)</f>
        <v>#N/A</v>
      </c>
      <c r="J640" s="268" t="e">
        <f>VLOOKUP('Trial Balance'!$A640,'Code Allocation'!$A:$F,6,0)</f>
        <v>#N/A</v>
      </c>
    </row>
    <row r="641" spans="1:10" ht="15" hidden="1" customHeight="1" x14ac:dyDescent="0.25">
      <c r="A641" s="644"/>
      <c r="B641" s="644"/>
      <c r="C641" s="645"/>
      <c r="D641" s="644"/>
      <c r="E641" s="305">
        <f>SUMIF(Adjustments!A:A,A641,Adjustments!C:C)</f>
        <v>0</v>
      </c>
      <c r="F641" s="278">
        <f t="shared" si="9"/>
        <v>0</v>
      </c>
      <c r="G641" s="263" t="e">
        <v>#N/A</v>
      </c>
      <c r="H641" s="266" t="e">
        <f>VLOOKUP('Trial Balance'!$A641,'Code Allocation'!$A:$D,4,0)</f>
        <v>#N/A</v>
      </c>
      <c r="I641" s="267" t="e">
        <f>VLOOKUP('Trial Balance'!$A641,'Code Allocation'!$A:$E,5,0)</f>
        <v>#N/A</v>
      </c>
      <c r="J641" s="268" t="e">
        <f>VLOOKUP('Trial Balance'!$A641,'Code Allocation'!$A:$F,6,0)</f>
        <v>#N/A</v>
      </c>
    </row>
    <row r="642" spans="1:10" ht="15" hidden="1" customHeight="1" x14ac:dyDescent="0.25">
      <c r="A642" s="644"/>
      <c r="B642" s="644"/>
      <c r="C642" s="645"/>
      <c r="D642" s="644"/>
      <c r="E642" s="305">
        <f>SUMIF(Adjustments!A:A,A642,Adjustments!C:C)</f>
        <v>0</v>
      </c>
      <c r="F642" s="278">
        <f t="shared" si="9"/>
        <v>0</v>
      </c>
      <c r="G642" s="263" t="e">
        <v>#N/A</v>
      </c>
      <c r="H642" s="266" t="e">
        <f>VLOOKUP('Trial Balance'!$A642,'Code Allocation'!$A:$D,4,0)</f>
        <v>#N/A</v>
      </c>
      <c r="I642" s="267" t="e">
        <f>VLOOKUP('Trial Balance'!$A642,'Code Allocation'!$A:$E,5,0)</f>
        <v>#N/A</v>
      </c>
      <c r="J642" s="268" t="e">
        <f>VLOOKUP('Trial Balance'!$A642,'Code Allocation'!$A:$F,6,0)</f>
        <v>#N/A</v>
      </c>
    </row>
    <row r="643" spans="1:10" ht="15" hidden="1" customHeight="1" x14ac:dyDescent="0.25">
      <c r="A643" s="644"/>
      <c r="B643" s="644"/>
      <c r="C643" s="644"/>
      <c r="D643" s="644"/>
      <c r="E643" s="305">
        <f>SUMIF(Adjustments!A:A,A643,Adjustments!C:C)</f>
        <v>0</v>
      </c>
      <c r="F643" s="278">
        <f t="shared" si="9"/>
        <v>0</v>
      </c>
      <c r="G643" s="263" t="e">
        <v>#N/A</v>
      </c>
      <c r="H643" s="266" t="e">
        <f>VLOOKUP('Trial Balance'!$A643,'Code Allocation'!$A:$D,4,0)</f>
        <v>#N/A</v>
      </c>
      <c r="I643" s="267" t="e">
        <f>VLOOKUP('Trial Balance'!$A643,'Code Allocation'!$A:$E,5,0)</f>
        <v>#N/A</v>
      </c>
      <c r="J643" s="268" t="e">
        <f>VLOOKUP('Trial Balance'!$A643,'Code Allocation'!$A:$F,6,0)</f>
        <v>#N/A</v>
      </c>
    </row>
    <row r="644" spans="1:10" ht="15" hidden="1" customHeight="1" x14ac:dyDescent="0.25">
      <c r="A644" s="644"/>
      <c r="B644" s="644"/>
      <c r="C644" s="645"/>
      <c r="D644" s="644"/>
      <c r="E644" s="305">
        <f>SUMIF(Adjustments!A:A,A644,Adjustments!C:C)</f>
        <v>0</v>
      </c>
      <c r="F644" s="278">
        <f t="shared" si="9"/>
        <v>0</v>
      </c>
      <c r="G644" s="263" t="e">
        <v>#N/A</v>
      </c>
      <c r="H644" s="266" t="e">
        <f>VLOOKUP('Trial Balance'!$A644,'Code Allocation'!$A:$D,4,0)</f>
        <v>#N/A</v>
      </c>
      <c r="I644" s="267" t="e">
        <f>VLOOKUP('Trial Balance'!$A644,'Code Allocation'!$A:$E,5,0)</f>
        <v>#N/A</v>
      </c>
      <c r="J644" s="268" t="e">
        <f>VLOOKUP('Trial Balance'!$A644,'Code Allocation'!$A:$F,6,0)</f>
        <v>#N/A</v>
      </c>
    </row>
    <row r="645" spans="1:10" ht="15" hidden="1" customHeight="1" x14ac:dyDescent="0.25">
      <c r="A645" s="644"/>
      <c r="B645" s="644"/>
      <c r="C645" s="644"/>
      <c r="D645" s="644"/>
      <c r="E645" s="305">
        <f>SUMIF(Adjustments!A:A,A645,Adjustments!C:C)</f>
        <v>0</v>
      </c>
      <c r="F645" s="278">
        <f t="shared" si="9"/>
        <v>0</v>
      </c>
      <c r="G645" s="263" t="e">
        <v>#N/A</v>
      </c>
      <c r="H645" s="266" t="e">
        <f>VLOOKUP('Trial Balance'!$A645,'Code Allocation'!$A:$D,4,0)</f>
        <v>#N/A</v>
      </c>
      <c r="I645" s="267" t="e">
        <f>VLOOKUP('Trial Balance'!$A645,'Code Allocation'!$A:$E,5,0)</f>
        <v>#N/A</v>
      </c>
      <c r="J645" s="268" t="e">
        <f>VLOOKUP('Trial Balance'!$A645,'Code Allocation'!$A:$F,6,0)</f>
        <v>#N/A</v>
      </c>
    </row>
    <row r="646" spans="1:10" ht="15" hidden="1" customHeight="1" x14ac:dyDescent="0.25">
      <c r="A646" s="644"/>
      <c r="B646" s="644"/>
      <c r="C646" s="644"/>
      <c r="D646" s="644"/>
      <c r="E646" s="305">
        <f>SUMIF(Adjustments!A:A,A646,Adjustments!C:C)</f>
        <v>0</v>
      </c>
      <c r="F646" s="278">
        <f t="shared" si="9"/>
        <v>0</v>
      </c>
      <c r="G646" s="263" t="e">
        <v>#N/A</v>
      </c>
      <c r="H646" s="266" t="e">
        <f>VLOOKUP('Trial Balance'!$A646,'Code Allocation'!$A:$D,4,0)</f>
        <v>#N/A</v>
      </c>
      <c r="I646" s="267" t="e">
        <f>VLOOKUP('Trial Balance'!$A646,'Code Allocation'!$A:$E,5,0)</f>
        <v>#N/A</v>
      </c>
      <c r="J646" s="268" t="e">
        <f>VLOOKUP('Trial Balance'!$A646,'Code Allocation'!$A:$F,6,0)</f>
        <v>#N/A</v>
      </c>
    </row>
    <row r="647" spans="1:10" ht="15" hidden="1" customHeight="1" x14ac:dyDescent="0.25">
      <c r="A647" s="644"/>
      <c r="B647" s="644"/>
      <c r="C647" s="645"/>
      <c r="D647" s="644"/>
      <c r="E647" s="305">
        <f>SUMIF(Adjustments!A:A,A647,Adjustments!C:C)</f>
        <v>0</v>
      </c>
      <c r="F647" s="278">
        <f t="shared" si="9"/>
        <v>0</v>
      </c>
      <c r="G647" s="263" t="e">
        <v>#N/A</v>
      </c>
      <c r="H647" s="266" t="e">
        <f>VLOOKUP('Trial Balance'!$A647,'Code Allocation'!$A:$D,4,0)</f>
        <v>#N/A</v>
      </c>
      <c r="I647" s="267" t="e">
        <f>VLOOKUP('Trial Balance'!$A647,'Code Allocation'!$A:$E,5,0)</f>
        <v>#N/A</v>
      </c>
      <c r="J647" s="268" t="e">
        <f>VLOOKUP('Trial Balance'!$A647,'Code Allocation'!$A:$F,6,0)</f>
        <v>#N/A</v>
      </c>
    </row>
    <row r="648" spans="1:10" ht="15" hidden="1" customHeight="1" x14ac:dyDescent="0.25">
      <c r="A648" s="644"/>
      <c r="B648" s="644"/>
      <c r="C648" s="645"/>
      <c r="D648" s="644"/>
      <c r="E648" s="305">
        <f>SUMIF(Adjustments!A:A,A648,Adjustments!C:C)</f>
        <v>0</v>
      </c>
      <c r="F648" s="278">
        <f t="shared" si="9"/>
        <v>0</v>
      </c>
      <c r="G648" s="263" t="e">
        <v>#N/A</v>
      </c>
      <c r="H648" s="266" t="e">
        <f>VLOOKUP('Trial Balance'!$A648,'Code Allocation'!$A:$D,4,0)</f>
        <v>#N/A</v>
      </c>
      <c r="I648" s="267" t="e">
        <f>VLOOKUP('Trial Balance'!$A648,'Code Allocation'!$A:$E,5,0)</f>
        <v>#N/A</v>
      </c>
      <c r="J648" s="268" t="e">
        <f>VLOOKUP('Trial Balance'!$A648,'Code Allocation'!$A:$F,6,0)</f>
        <v>#N/A</v>
      </c>
    </row>
    <row r="649" spans="1:10" ht="15" hidden="1" customHeight="1" x14ac:dyDescent="0.25">
      <c r="A649" s="644"/>
      <c r="B649" s="644"/>
      <c r="C649" s="645"/>
      <c r="D649" s="644"/>
      <c r="E649" s="305">
        <f>SUMIF(Adjustments!A:A,A649,Adjustments!C:C)</f>
        <v>0</v>
      </c>
      <c r="F649" s="278">
        <f t="shared" si="9"/>
        <v>0</v>
      </c>
      <c r="G649" s="263" t="e">
        <v>#N/A</v>
      </c>
      <c r="H649" s="266" t="e">
        <f>VLOOKUP('Trial Balance'!$A649,'Code Allocation'!$A:$D,4,0)</f>
        <v>#N/A</v>
      </c>
      <c r="I649" s="267" t="e">
        <f>VLOOKUP('Trial Balance'!$A649,'Code Allocation'!$A:$E,5,0)</f>
        <v>#N/A</v>
      </c>
      <c r="J649" s="268" t="e">
        <f>VLOOKUP('Trial Balance'!$A649,'Code Allocation'!$A:$F,6,0)</f>
        <v>#N/A</v>
      </c>
    </row>
    <row r="650" spans="1:10" ht="15" hidden="1" customHeight="1" x14ac:dyDescent="0.25">
      <c r="A650" s="644"/>
      <c r="B650" s="644"/>
      <c r="C650" s="644"/>
      <c r="D650" s="644"/>
      <c r="E650" s="305">
        <f>SUMIF(Adjustments!A:A,A650,Adjustments!C:C)</f>
        <v>0</v>
      </c>
      <c r="F650" s="278">
        <f t="shared" si="9"/>
        <v>0</v>
      </c>
      <c r="G650" s="263" t="e">
        <v>#N/A</v>
      </c>
      <c r="H650" s="266" t="e">
        <f>VLOOKUP('Trial Balance'!$A650,'Code Allocation'!$A:$D,4,0)</f>
        <v>#N/A</v>
      </c>
      <c r="I650" s="267" t="e">
        <f>VLOOKUP('Trial Balance'!$A650,'Code Allocation'!$A:$E,5,0)</f>
        <v>#N/A</v>
      </c>
      <c r="J650" s="268" t="e">
        <f>VLOOKUP('Trial Balance'!$A650,'Code Allocation'!$A:$F,6,0)</f>
        <v>#N/A</v>
      </c>
    </row>
    <row r="651" spans="1:10" ht="15" hidden="1" customHeight="1" x14ac:dyDescent="0.25">
      <c r="A651" s="644"/>
      <c r="B651" s="644"/>
      <c r="C651" s="645"/>
      <c r="D651" s="644"/>
      <c r="E651" s="305">
        <f>SUMIF(Adjustments!A:A,A651,Adjustments!C:C)</f>
        <v>0</v>
      </c>
      <c r="F651" s="278">
        <f t="shared" si="9"/>
        <v>0</v>
      </c>
      <c r="G651" s="263" t="e">
        <v>#N/A</v>
      </c>
      <c r="H651" s="266" t="e">
        <f>VLOOKUP('Trial Balance'!$A651,'Code Allocation'!$A:$D,4,0)</f>
        <v>#N/A</v>
      </c>
      <c r="I651" s="267" t="e">
        <f>VLOOKUP('Trial Balance'!$A651,'Code Allocation'!$A:$E,5,0)</f>
        <v>#N/A</v>
      </c>
      <c r="J651" s="268" t="e">
        <f>VLOOKUP('Trial Balance'!$A651,'Code Allocation'!$A:$F,6,0)</f>
        <v>#N/A</v>
      </c>
    </row>
    <row r="652" spans="1:10" ht="15" hidden="1" customHeight="1" x14ac:dyDescent="0.25">
      <c r="A652" s="644"/>
      <c r="B652" s="644"/>
      <c r="C652" s="644"/>
      <c r="D652" s="644"/>
      <c r="E652" s="305">
        <f>SUMIF(Adjustments!A:A,A652,Adjustments!C:C)</f>
        <v>0</v>
      </c>
      <c r="F652" s="278">
        <f t="shared" si="9"/>
        <v>0</v>
      </c>
      <c r="G652" s="263" t="e">
        <v>#N/A</v>
      </c>
      <c r="H652" s="266" t="e">
        <f>VLOOKUP('Trial Balance'!$A652,'Code Allocation'!$A:$D,4,0)</f>
        <v>#N/A</v>
      </c>
      <c r="I652" s="267" t="e">
        <f>VLOOKUP('Trial Balance'!$A652,'Code Allocation'!$A:$E,5,0)</f>
        <v>#N/A</v>
      </c>
      <c r="J652" s="268" t="e">
        <f>VLOOKUP('Trial Balance'!$A652,'Code Allocation'!$A:$F,6,0)</f>
        <v>#N/A</v>
      </c>
    </row>
    <row r="653" spans="1:10" ht="15" hidden="1" customHeight="1" x14ac:dyDescent="0.25">
      <c r="A653" s="644"/>
      <c r="B653" s="644"/>
      <c r="C653" s="644"/>
      <c r="D653" s="644"/>
      <c r="E653" s="305">
        <f>SUMIF(Adjustments!A:A,A653,Adjustments!C:C)</f>
        <v>0</v>
      </c>
      <c r="F653" s="278">
        <f t="shared" si="9"/>
        <v>0</v>
      </c>
      <c r="G653" s="263" t="e">
        <v>#N/A</v>
      </c>
      <c r="H653" s="266" t="e">
        <f>VLOOKUP('Trial Balance'!$A653,'Code Allocation'!$A:$D,4,0)</f>
        <v>#N/A</v>
      </c>
      <c r="I653" s="267" t="e">
        <f>VLOOKUP('Trial Balance'!$A653,'Code Allocation'!$A:$E,5,0)</f>
        <v>#N/A</v>
      </c>
      <c r="J653" s="268" t="e">
        <f>VLOOKUP('Trial Balance'!$A653,'Code Allocation'!$A:$F,6,0)</f>
        <v>#N/A</v>
      </c>
    </row>
    <row r="654" spans="1:10" ht="15" hidden="1" customHeight="1" x14ac:dyDescent="0.25">
      <c r="A654" s="644"/>
      <c r="B654" s="644"/>
      <c r="C654" s="644"/>
      <c r="D654" s="644"/>
      <c r="E654" s="305">
        <f>SUMIF(Adjustments!A:A,A654,Adjustments!C:C)</f>
        <v>0</v>
      </c>
      <c r="F654" s="278">
        <f t="shared" si="9"/>
        <v>0</v>
      </c>
      <c r="G654" s="263" t="e">
        <v>#N/A</v>
      </c>
      <c r="H654" s="266" t="e">
        <f>VLOOKUP('Trial Balance'!$A654,'Code Allocation'!$A:$D,4,0)</f>
        <v>#N/A</v>
      </c>
      <c r="I654" s="267" t="e">
        <f>VLOOKUP('Trial Balance'!$A654,'Code Allocation'!$A:$E,5,0)</f>
        <v>#N/A</v>
      </c>
      <c r="J654" s="268" t="e">
        <f>VLOOKUP('Trial Balance'!$A654,'Code Allocation'!$A:$F,6,0)</f>
        <v>#N/A</v>
      </c>
    </row>
    <row r="655" spans="1:10" ht="15" hidden="1" customHeight="1" x14ac:dyDescent="0.25">
      <c r="A655" s="644"/>
      <c r="B655" s="644"/>
      <c r="C655" s="644"/>
      <c r="D655" s="644"/>
      <c r="E655" s="305">
        <f>SUMIF(Adjustments!A:A,A655,Adjustments!C:C)</f>
        <v>0</v>
      </c>
      <c r="F655" s="278">
        <f t="shared" si="9"/>
        <v>0</v>
      </c>
      <c r="G655" s="263" t="e">
        <v>#N/A</v>
      </c>
      <c r="H655" s="266" t="e">
        <f>VLOOKUP('Trial Balance'!$A655,'Code Allocation'!$A:$D,4,0)</f>
        <v>#N/A</v>
      </c>
      <c r="I655" s="267" t="e">
        <f>VLOOKUP('Trial Balance'!$A655,'Code Allocation'!$A:$E,5,0)</f>
        <v>#N/A</v>
      </c>
      <c r="J655" s="268" t="e">
        <f>VLOOKUP('Trial Balance'!$A655,'Code Allocation'!$A:$F,6,0)</f>
        <v>#N/A</v>
      </c>
    </row>
    <row r="656" spans="1:10" ht="15" hidden="1" customHeight="1" x14ac:dyDescent="0.25">
      <c r="A656" s="644"/>
      <c r="B656" s="644"/>
      <c r="C656" s="644"/>
      <c r="D656" s="644"/>
      <c r="E656" s="305">
        <f>SUMIF(Adjustments!A:A,A656,Adjustments!C:C)</f>
        <v>0</v>
      </c>
      <c r="F656" s="278">
        <f t="shared" si="9"/>
        <v>0</v>
      </c>
      <c r="G656" s="263" t="e">
        <v>#N/A</v>
      </c>
      <c r="H656" s="266" t="e">
        <f>VLOOKUP('Trial Balance'!$A656,'Code Allocation'!$A:$D,4,0)</f>
        <v>#N/A</v>
      </c>
      <c r="I656" s="267" t="e">
        <f>VLOOKUP('Trial Balance'!$A656,'Code Allocation'!$A:$E,5,0)</f>
        <v>#N/A</v>
      </c>
      <c r="J656" s="268" t="e">
        <f>VLOOKUP('Trial Balance'!$A656,'Code Allocation'!$A:$F,6,0)</f>
        <v>#N/A</v>
      </c>
    </row>
    <row r="657" spans="1:10" ht="15" hidden="1" customHeight="1" x14ac:dyDescent="0.25">
      <c r="A657" s="644"/>
      <c r="B657" s="644"/>
      <c r="C657" s="645"/>
      <c r="D657" s="644"/>
      <c r="E657" s="305">
        <f>SUMIF(Adjustments!A:A,A657,Adjustments!C:C)</f>
        <v>0</v>
      </c>
      <c r="F657" s="278">
        <f t="shared" si="9"/>
        <v>0</v>
      </c>
      <c r="G657" s="263" t="e">
        <v>#N/A</v>
      </c>
      <c r="H657" s="266" t="e">
        <f>VLOOKUP('Trial Balance'!$A657,'Code Allocation'!$A:$D,4,0)</f>
        <v>#N/A</v>
      </c>
      <c r="I657" s="267" t="e">
        <f>VLOOKUP('Trial Balance'!$A657,'Code Allocation'!$A:$E,5,0)</f>
        <v>#N/A</v>
      </c>
      <c r="J657" s="268" t="e">
        <f>VLOOKUP('Trial Balance'!$A657,'Code Allocation'!$A:$F,6,0)</f>
        <v>#N/A</v>
      </c>
    </row>
    <row r="658" spans="1:10" ht="15" hidden="1" customHeight="1" x14ac:dyDescent="0.25">
      <c r="A658" s="644"/>
      <c r="B658" s="644"/>
      <c r="C658" s="645"/>
      <c r="D658" s="644"/>
      <c r="E658" s="305">
        <f>SUMIF(Adjustments!A:A,A658,Adjustments!C:C)</f>
        <v>0</v>
      </c>
      <c r="F658" s="278">
        <f t="shared" si="9"/>
        <v>0</v>
      </c>
      <c r="G658" s="263" t="e">
        <v>#N/A</v>
      </c>
      <c r="H658" s="266" t="e">
        <f>VLOOKUP('Trial Balance'!$A658,'Code Allocation'!$A:$D,4,0)</f>
        <v>#N/A</v>
      </c>
      <c r="I658" s="267" t="e">
        <f>VLOOKUP('Trial Balance'!$A658,'Code Allocation'!$A:$E,5,0)</f>
        <v>#N/A</v>
      </c>
      <c r="J658" s="268" t="e">
        <f>VLOOKUP('Trial Balance'!$A658,'Code Allocation'!$A:$F,6,0)</f>
        <v>#N/A</v>
      </c>
    </row>
    <row r="659" spans="1:10" ht="15" hidden="1" customHeight="1" x14ac:dyDescent="0.25">
      <c r="A659" s="644"/>
      <c r="B659" s="644"/>
      <c r="C659" s="644"/>
      <c r="D659" s="644"/>
      <c r="E659" s="305">
        <f>SUMIF(Adjustments!A:A,A659,Adjustments!C:C)</f>
        <v>0</v>
      </c>
      <c r="F659" s="278">
        <f t="shared" si="9"/>
        <v>0</v>
      </c>
      <c r="G659" s="263" t="e">
        <v>#N/A</v>
      </c>
      <c r="H659" s="266" t="e">
        <f>VLOOKUP('Trial Balance'!$A659,'Code Allocation'!$A:$D,4,0)</f>
        <v>#N/A</v>
      </c>
      <c r="I659" s="267" t="e">
        <f>VLOOKUP('Trial Balance'!$A659,'Code Allocation'!$A:$E,5,0)</f>
        <v>#N/A</v>
      </c>
      <c r="J659" s="268" t="e">
        <f>VLOOKUP('Trial Balance'!$A659,'Code Allocation'!$A:$F,6,0)</f>
        <v>#N/A</v>
      </c>
    </row>
    <row r="660" spans="1:10" ht="15" hidden="1" customHeight="1" x14ac:dyDescent="0.25">
      <c r="A660" s="644"/>
      <c r="B660" s="644"/>
      <c r="C660" s="644"/>
      <c r="D660" s="644"/>
      <c r="E660" s="305">
        <f>SUMIF(Adjustments!A:A,A660,Adjustments!C:C)</f>
        <v>0</v>
      </c>
      <c r="F660" s="278">
        <f t="shared" si="9"/>
        <v>0</v>
      </c>
      <c r="G660" s="263" t="e">
        <v>#N/A</v>
      </c>
      <c r="H660" s="266" t="e">
        <f>VLOOKUP('Trial Balance'!$A660,'Code Allocation'!$A:$D,4,0)</f>
        <v>#N/A</v>
      </c>
      <c r="I660" s="267" t="e">
        <f>VLOOKUP('Trial Balance'!$A660,'Code Allocation'!$A:$E,5,0)</f>
        <v>#N/A</v>
      </c>
      <c r="J660" s="268" t="e">
        <f>VLOOKUP('Trial Balance'!$A660,'Code Allocation'!$A:$F,6,0)</f>
        <v>#N/A</v>
      </c>
    </row>
    <row r="661" spans="1:10" ht="15" hidden="1" customHeight="1" x14ac:dyDescent="0.3">
      <c r="A661" s="644"/>
      <c r="B661" s="644"/>
      <c r="C661" s="644"/>
      <c r="D661" s="644"/>
      <c r="E661" s="305">
        <f>SUMIF(Adjustments!A:A,A661,Adjustments!C:C)</f>
        <v>0</v>
      </c>
      <c r="F661" s="280">
        <f t="shared" si="9"/>
        <v>0</v>
      </c>
      <c r="G661" s="263" t="e">
        <v>#N/A</v>
      </c>
      <c r="H661" s="266" t="e">
        <f>VLOOKUP('Trial Balance'!$A661,'Code Allocation'!$A:$D,4,0)</f>
        <v>#N/A</v>
      </c>
      <c r="I661" s="267" t="e">
        <f>VLOOKUP('Trial Balance'!$A661,'Code Allocation'!$A:$E,5,0)</f>
        <v>#N/A</v>
      </c>
      <c r="J661" s="268" t="e">
        <f>VLOOKUP('Trial Balance'!$A661,'Code Allocation'!$A:$F,6,0)</f>
        <v>#N/A</v>
      </c>
    </row>
    <row r="662" spans="1:10" ht="15" hidden="1" customHeight="1" x14ac:dyDescent="0.25">
      <c r="A662" s="644"/>
      <c r="B662" s="644"/>
      <c r="C662" s="644"/>
      <c r="D662" s="644"/>
      <c r="E662" s="305">
        <f>SUMIF(Adjustments!A:A,A662,Adjustments!C:C)</f>
        <v>0</v>
      </c>
      <c r="F662" s="278">
        <f t="shared" si="9"/>
        <v>0</v>
      </c>
      <c r="G662" s="263" t="e">
        <v>#N/A</v>
      </c>
      <c r="H662" s="266" t="e">
        <f>VLOOKUP('Trial Balance'!$A662,'Code Allocation'!$A:$D,4,0)</f>
        <v>#N/A</v>
      </c>
      <c r="I662" s="267" t="e">
        <f>VLOOKUP('Trial Balance'!$A662,'Code Allocation'!$A:$E,5,0)</f>
        <v>#N/A</v>
      </c>
      <c r="J662" s="268" t="e">
        <f>VLOOKUP('Trial Balance'!$A662,'Code Allocation'!$A:$F,6,0)</f>
        <v>#N/A</v>
      </c>
    </row>
    <row r="663" spans="1:10" ht="15" hidden="1" customHeight="1" x14ac:dyDescent="0.25">
      <c r="A663" s="644"/>
      <c r="B663" s="644"/>
      <c r="C663" s="644"/>
      <c r="D663" s="644"/>
      <c r="E663" s="305">
        <f>SUMIF(Adjustments!A:A,A663,Adjustments!C:C)</f>
        <v>0</v>
      </c>
      <c r="F663" s="278">
        <f t="shared" si="9"/>
        <v>0</v>
      </c>
      <c r="G663" s="263" t="e">
        <v>#N/A</v>
      </c>
      <c r="H663" s="266" t="e">
        <f>VLOOKUP('Trial Balance'!$A663,'Code Allocation'!$A:$D,4,0)</f>
        <v>#N/A</v>
      </c>
      <c r="I663" s="267" t="e">
        <f>VLOOKUP('Trial Balance'!$A663,'Code Allocation'!$A:$E,5,0)</f>
        <v>#N/A</v>
      </c>
      <c r="J663" s="268" t="e">
        <f>VLOOKUP('Trial Balance'!$A663,'Code Allocation'!$A:$F,6,0)</f>
        <v>#N/A</v>
      </c>
    </row>
    <row r="664" spans="1:10" ht="15" hidden="1" customHeight="1" x14ac:dyDescent="0.25">
      <c r="A664" s="644"/>
      <c r="B664" s="644"/>
      <c r="C664" s="644"/>
      <c r="D664" s="644"/>
      <c r="E664" s="305">
        <f>SUMIF(Adjustments!A:A,A664,Adjustments!C:C)</f>
        <v>0</v>
      </c>
      <c r="F664" s="278">
        <f t="shared" si="9"/>
        <v>0</v>
      </c>
      <c r="G664" s="263" t="e">
        <v>#N/A</v>
      </c>
      <c r="H664" s="266" t="e">
        <f>VLOOKUP('Trial Balance'!$A664,'Code Allocation'!$A:$D,4,0)</f>
        <v>#N/A</v>
      </c>
      <c r="I664" s="267" t="e">
        <f>VLOOKUP('Trial Balance'!$A664,'Code Allocation'!$A:$E,5,0)</f>
        <v>#N/A</v>
      </c>
      <c r="J664" s="268" t="e">
        <f>VLOOKUP('Trial Balance'!$A664,'Code Allocation'!$A:$F,6,0)</f>
        <v>#N/A</v>
      </c>
    </row>
    <row r="665" spans="1:10" ht="15" hidden="1" customHeight="1" x14ac:dyDescent="0.25">
      <c r="A665" s="644"/>
      <c r="B665" s="644"/>
      <c r="C665" s="644"/>
      <c r="D665" s="644"/>
      <c r="E665" s="305">
        <f>SUMIF(Adjustments!A:A,A665,Adjustments!C:C)</f>
        <v>0</v>
      </c>
      <c r="F665" s="278">
        <f t="shared" si="9"/>
        <v>0</v>
      </c>
      <c r="G665" s="263" t="e">
        <v>#N/A</v>
      </c>
      <c r="H665" s="266" t="e">
        <f>VLOOKUP('Trial Balance'!$A665,'Code Allocation'!$A:$D,4,0)</f>
        <v>#N/A</v>
      </c>
      <c r="I665" s="267" t="e">
        <f>VLOOKUP('Trial Balance'!$A665,'Code Allocation'!$A:$E,5,0)</f>
        <v>#N/A</v>
      </c>
      <c r="J665" s="268" t="e">
        <f>VLOOKUP('Trial Balance'!$A665,'Code Allocation'!$A:$F,6,0)</f>
        <v>#N/A</v>
      </c>
    </row>
    <row r="666" spans="1:10" ht="15" hidden="1" customHeight="1" x14ac:dyDescent="0.25">
      <c r="A666" s="644"/>
      <c r="B666" s="644"/>
      <c r="C666" s="644"/>
      <c r="D666" s="644"/>
      <c r="E666" s="305">
        <f>SUMIF(Adjustments!A:A,A666,Adjustments!C:C)</f>
        <v>0</v>
      </c>
      <c r="F666" s="278">
        <f t="shared" si="9"/>
        <v>0</v>
      </c>
      <c r="G666" s="263" t="e">
        <v>#N/A</v>
      </c>
      <c r="H666" s="266" t="e">
        <f>VLOOKUP('Trial Balance'!$A666,'Code Allocation'!$A:$D,4,0)</f>
        <v>#N/A</v>
      </c>
      <c r="I666" s="267" t="e">
        <f>VLOOKUP('Trial Balance'!$A666,'Code Allocation'!$A:$E,5,0)</f>
        <v>#N/A</v>
      </c>
      <c r="J666" s="268" t="e">
        <f>VLOOKUP('Trial Balance'!$A666,'Code Allocation'!$A:$F,6,0)</f>
        <v>#N/A</v>
      </c>
    </row>
    <row r="667" spans="1:10" ht="15" hidden="1" customHeight="1" x14ac:dyDescent="0.25">
      <c r="A667" s="644"/>
      <c r="B667" s="644"/>
      <c r="C667" s="644"/>
      <c r="D667" s="644"/>
      <c r="E667" s="305">
        <f>SUMIF(Adjustments!A:A,A667,Adjustments!C:C)</f>
        <v>0</v>
      </c>
      <c r="F667" s="278">
        <f t="shared" si="9"/>
        <v>0</v>
      </c>
      <c r="G667" s="263" t="e">
        <v>#N/A</v>
      </c>
      <c r="H667" s="266" t="e">
        <f>VLOOKUP('Trial Balance'!$A667,'Code Allocation'!$A:$D,4,0)</f>
        <v>#N/A</v>
      </c>
      <c r="I667" s="267" t="e">
        <f>VLOOKUP('Trial Balance'!$A667,'Code Allocation'!$A:$E,5,0)</f>
        <v>#N/A</v>
      </c>
      <c r="J667" s="268" t="e">
        <f>VLOOKUP('Trial Balance'!$A667,'Code Allocation'!$A:$F,6,0)</f>
        <v>#N/A</v>
      </c>
    </row>
    <row r="668" spans="1:10" ht="15" hidden="1" customHeight="1" x14ac:dyDescent="0.25">
      <c r="A668" s="644"/>
      <c r="B668" s="644"/>
      <c r="C668" s="644"/>
      <c r="D668" s="644"/>
      <c r="E668" s="305">
        <f>SUMIF(Adjustments!A:A,A668,Adjustments!C:C)</f>
        <v>0</v>
      </c>
      <c r="F668" s="278">
        <f t="shared" si="9"/>
        <v>0</v>
      </c>
      <c r="G668" s="263" t="e">
        <v>#N/A</v>
      </c>
      <c r="H668" s="266" t="e">
        <f>VLOOKUP('Trial Balance'!$A668,'Code Allocation'!$A:$D,4,0)</f>
        <v>#N/A</v>
      </c>
      <c r="I668" s="267" t="e">
        <f>VLOOKUP('Trial Balance'!$A668,'Code Allocation'!$A:$E,5,0)</f>
        <v>#N/A</v>
      </c>
      <c r="J668" s="268" t="e">
        <f>VLOOKUP('Trial Balance'!$A668,'Code Allocation'!$A:$F,6,0)</f>
        <v>#N/A</v>
      </c>
    </row>
    <row r="669" spans="1:10" ht="15" hidden="1" customHeight="1" x14ac:dyDescent="0.25">
      <c r="A669" s="644"/>
      <c r="B669" s="644"/>
      <c r="C669" s="644"/>
      <c r="D669" s="644"/>
      <c r="E669" s="305">
        <f>SUMIF(Adjustments!A:A,A669,Adjustments!C:C)</f>
        <v>0</v>
      </c>
      <c r="F669" s="278">
        <f t="shared" si="9"/>
        <v>0</v>
      </c>
      <c r="G669" s="263" t="e">
        <v>#N/A</v>
      </c>
      <c r="H669" s="266" t="e">
        <f>VLOOKUP('Trial Balance'!$A669,'Code Allocation'!$A:$D,4,0)</f>
        <v>#N/A</v>
      </c>
      <c r="I669" s="267" t="e">
        <f>VLOOKUP('Trial Balance'!$A669,'Code Allocation'!$A:$E,5,0)</f>
        <v>#N/A</v>
      </c>
      <c r="J669" s="268" t="e">
        <f>VLOOKUP('Trial Balance'!$A669,'Code Allocation'!$A:$F,6,0)</f>
        <v>#N/A</v>
      </c>
    </row>
    <row r="670" spans="1:10" ht="15" hidden="1" customHeight="1" x14ac:dyDescent="0.25">
      <c r="A670" s="644"/>
      <c r="B670" s="644"/>
      <c r="C670" s="645"/>
      <c r="D670" s="644"/>
      <c r="E670" s="305">
        <f>SUMIF(Adjustments!A:A,A670,Adjustments!C:C)</f>
        <v>0</v>
      </c>
      <c r="F670" s="278">
        <f t="shared" si="9"/>
        <v>0</v>
      </c>
      <c r="G670" s="263" t="e">
        <v>#N/A</v>
      </c>
      <c r="H670" s="266" t="e">
        <f>VLOOKUP('Trial Balance'!$A670,'Code Allocation'!$A:$D,4,0)</f>
        <v>#N/A</v>
      </c>
      <c r="I670" s="267" t="e">
        <f>VLOOKUP('Trial Balance'!$A670,'Code Allocation'!$A:$E,5,0)</f>
        <v>#N/A</v>
      </c>
      <c r="J670" s="268" t="e">
        <f>VLOOKUP('Trial Balance'!$A670,'Code Allocation'!$A:$F,6,0)</f>
        <v>#N/A</v>
      </c>
    </row>
    <row r="671" spans="1:10" ht="15" hidden="1" customHeight="1" x14ac:dyDescent="0.25">
      <c r="A671" s="644"/>
      <c r="B671" s="644"/>
      <c r="C671" s="645"/>
      <c r="D671" s="644"/>
      <c r="E671" s="305">
        <f>SUMIF(Adjustments!A:A,A671,Adjustments!C:C)</f>
        <v>0</v>
      </c>
      <c r="F671" s="278">
        <f t="shared" si="9"/>
        <v>0</v>
      </c>
      <c r="G671" s="263" t="e">
        <v>#N/A</v>
      </c>
      <c r="H671" s="266" t="e">
        <f>VLOOKUP('Trial Balance'!$A671,'Code Allocation'!$A:$D,4,0)</f>
        <v>#N/A</v>
      </c>
      <c r="I671" s="267" t="e">
        <f>VLOOKUP('Trial Balance'!$A671,'Code Allocation'!$A:$E,5,0)</f>
        <v>#N/A</v>
      </c>
      <c r="J671" s="268" t="e">
        <f>VLOOKUP('Trial Balance'!$A671,'Code Allocation'!$A:$F,6,0)</f>
        <v>#N/A</v>
      </c>
    </row>
    <row r="672" spans="1:10" ht="15" hidden="1" customHeight="1" x14ac:dyDescent="0.25">
      <c r="A672" s="644"/>
      <c r="B672" s="644"/>
      <c r="C672" s="644"/>
      <c r="D672" s="644"/>
      <c r="E672" s="305">
        <f>SUMIF(Adjustments!A:A,A672,Adjustments!C:C)</f>
        <v>0</v>
      </c>
      <c r="F672" s="278">
        <f t="shared" si="9"/>
        <v>0</v>
      </c>
      <c r="G672" s="263" t="e">
        <v>#N/A</v>
      </c>
      <c r="H672" s="266" t="e">
        <f>VLOOKUP('Trial Balance'!$A672,'Code Allocation'!$A:$D,4,0)</f>
        <v>#N/A</v>
      </c>
      <c r="I672" s="267" t="e">
        <f>VLOOKUP('Trial Balance'!$A672,'Code Allocation'!$A:$E,5,0)</f>
        <v>#N/A</v>
      </c>
      <c r="J672" s="268" t="e">
        <f>VLOOKUP('Trial Balance'!$A672,'Code Allocation'!$A:$F,6,0)</f>
        <v>#N/A</v>
      </c>
    </row>
    <row r="673" spans="1:10" ht="15" hidden="1" customHeight="1" x14ac:dyDescent="0.25">
      <c r="A673" s="644"/>
      <c r="B673" s="644"/>
      <c r="C673" s="645"/>
      <c r="D673" s="644"/>
      <c r="E673" s="305">
        <f>SUMIF(Adjustments!A:A,A673,Adjustments!C:C)</f>
        <v>0</v>
      </c>
      <c r="F673" s="278">
        <f t="shared" si="9"/>
        <v>0</v>
      </c>
      <c r="G673" s="263" t="e">
        <v>#N/A</v>
      </c>
      <c r="H673" s="266" t="e">
        <f>VLOOKUP('Trial Balance'!$A673,'Code Allocation'!$A:$D,4,0)</f>
        <v>#N/A</v>
      </c>
      <c r="I673" s="267" t="e">
        <f>VLOOKUP('Trial Balance'!$A673,'Code Allocation'!$A:$E,5,0)</f>
        <v>#N/A</v>
      </c>
      <c r="J673" s="268" t="e">
        <f>VLOOKUP('Trial Balance'!$A673,'Code Allocation'!$A:$F,6,0)</f>
        <v>#N/A</v>
      </c>
    </row>
    <row r="674" spans="1:10" ht="15" hidden="1" customHeight="1" x14ac:dyDescent="0.25">
      <c r="A674" s="644"/>
      <c r="B674" s="644"/>
      <c r="C674" s="644"/>
      <c r="D674" s="644"/>
      <c r="E674" s="305">
        <f>SUMIF(Adjustments!A:A,A674,Adjustments!C:C)</f>
        <v>0</v>
      </c>
      <c r="F674" s="278">
        <f t="shared" si="9"/>
        <v>0</v>
      </c>
      <c r="G674" s="263" t="e">
        <v>#N/A</v>
      </c>
      <c r="H674" s="266" t="e">
        <f>VLOOKUP('Trial Balance'!$A674,'Code Allocation'!$A:$D,4,0)</f>
        <v>#N/A</v>
      </c>
      <c r="I674" s="267" t="e">
        <f>VLOOKUP('Trial Balance'!$A674,'Code Allocation'!$A:$E,5,0)</f>
        <v>#N/A</v>
      </c>
      <c r="J674" s="268" t="e">
        <f>VLOOKUP('Trial Balance'!$A674,'Code Allocation'!$A:$F,6,0)</f>
        <v>#N/A</v>
      </c>
    </row>
    <row r="675" spans="1:10" ht="15" hidden="1" customHeight="1" x14ac:dyDescent="0.25">
      <c r="A675" s="644"/>
      <c r="B675" s="644"/>
      <c r="C675" s="644"/>
      <c r="D675" s="644"/>
      <c r="E675" s="305">
        <f>SUMIF(Adjustments!A:A,A675,Adjustments!C:C)</f>
        <v>0</v>
      </c>
      <c r="F675" s="278">
        <f t="shared" si="9"/>
        <v>0</v>
      </c>
      <c r="G675" s="263" t="e">
        <v>#N/A</v>
      </c>
      <c r="H675" s="266" t="e">
        <f>VLOOKUP('Trial Balance'!$A675,'Code Allocation'!$A:$D,4,0)</f>
        <v>#N/A</v>
      </c>
      <c r="I675" s="267" t="e">
        <f>VLOOKUP('Trial Balance'!$A675,'Code Allocation'!$A:$E,5,0)</f>
        <v>#N/A</v>
      </c>
      <c r="J675" s="268" t="e">
        <f>VLOOKUP('Trial Balance'!$A675,'Code Allocation'!$A:$F,6,0)</f>
        <v>#N/A</v>
      </c>
    </row>
    <row r="676" spans="1:10" ht="15" hidden="1" customHeight="1" x14ac:dyDescent="0.25">
      <c r="A676" s="644"/>
      <c r="B676" s="644"/>
      <c r="C676" s="645"/>
      <c r="D676" s="644"/>
      <c r="E676" s="305">
        <f>SUMIF(Adjustments!A:A,A676,Adjustments!C:C)</f>
        <v>0</v>
      </c>
      <c r="F676" s="278">
        <f t="shared" si="9"/>
        <v>0</v>
      </c>
      <c r="G676" s="263" t="e">
        <v>#N/A</v>
      </c>
      <c r="H676" s="266" t="e">
        <f>VLOOKUP('Trial Balance'!$A676,'Code Allocation'!$A:$D,4,0)</f>
        <v>#N/A</v>
      </c>
      <c r="I676" s="267" t="e">
        <f>VLOOKUP('Trial Balance'!$A676,'Code Allocation'!$A:$E,5,0)</f>
        <v>#N/A</v>
      </c>
      <c r="J676" s="268" t="e">
        <f>VLOOKUP('Trial Balance'!$A676,'Code Allocation'!$A:$F,6,0)</f>
        <v>#N/A</v>
      </c>
    </row>
    <row r="677" spans="1:10" ht="15" hidden="1" customHeight="1" x14ac:dyDescent="0.25">
      <c r="A677" s="644"/>
      <c r="B677" s="644"/>
      <c r="C677" s="644"/>
      <c r="D677" s="644"/>
      <c r="E677" s="305">
        <f>SUMIF(Adjustments!A:A,A677,Adjustments!C:C)</f>
        <v>0</v>
      </c>
      <c r="F677" s="278">
        <f t="shared" si="9"/>
        <v>0</v>
      </c>
      <c r="G677" s="263" t="e">
        <v>#N/A</v>
      </c>
      <c r="H677" s="266" t="e">
        <f>VLOOKUP('Trial Balance'!$A677,'Code Allocation'!$A:$D,4,0)</f>
        <v>#N/A</v>
      </c>
      <c r="I677" s="267" t="e">
        <f>VLOOKUP('Trial Balance'!$A677,'Code Allocation'!$A:$E,5,0)</f>
        <v>#N/A</v>
      </c>
      <c r="J677" s="268" t="e">
        <f>VLOOKUP('Trial Balance'!$A677,'Code Allocation'!$A:$F,6,0)</f>
        <v>#N/A</v>
      </c>
    </row>
    <row r="678" spans="1:10" ht="15" hidden="1" customHeight="1" x14ac:dyDescent="0.25">
      <c r="A678" s="644"/>
      <c r="B678" s="644"/>
      <c r="C678" s="644"/>
      <c r="D678" s="645"/>
      <c r="E678" s="305">
        <f>SUMIF(Adjustments!A:A,A678,Adjustments!C:C)</f>
        <v>0</v>
      </c>
      <c r="F678" s="278">
        <f t="shared" si="9"/>
        <v>0</v>
      </c>
      <c r="G678" s="263" t="e">
        <v>#N/A</v>
      </c>
      <c r="H678" s="266" t="e">
        <f>VLOOKUP('Trial Balance'!$A678,'Code Allocation'!$A:$D,4,0)</f>
        <v>#N/A</v>
      </c>
      <c r="I678" s="267" t="e">
        <f>VLOOKUP('Trial Balance'!$A678,'Code Allocation'!$A:$E,5,0)</f>
        <v>#N/A</v>
      </c>
      <c r="J678" s="268" t="e">
        <f>VLOOKUP('Trial Balance'!$A678,'Code Allocation'!$A:$F,6,0)</f>
        <v>#N/A</v>
      </c>
    </row>
    <row r="679" spans="1:10" ht="15" hidden="1" customHeight="1" x14ac:dyDescent="0.25">
      <c r="A679" s="644"/>
      <c r="B679" s="644"/>
      <c r="C679" s="644"/>
      <c r="D679" s="645"/>
      <c r="E679" s="305">
        <f>SUMIF(Adjustments!A:A,A679,Adjustments!C:C)</f>
        <v>0</v>
      </c>
      <c r="F679" s="278">
        <f t="shared" si="9"/>
        <v>0</v>
      </c>
      <c r="G679" s="263" t="e">
        <v>#N/A</v>
      </c>
      <c r="H679" s="266" t="e">
        <f>VLOOKUP('Trial Balance'!$A679,'Code Allocation'!$A:$D,4,0)</f>
        <v>#N/A</v>
      </c>
      <c r="I679" s="267" t="e">
        <f>VLOOKUP('Trial Balance'!$A679,'Code Allocation'!$A:$E,5,0)</f>
        <v>#N/A</v>
      </c>
      <c r="J679" s="268" t="e">
        <f>VLOOKUP('Trial Balance'!$A679,'Code Allocation'!$A:$F,6,0)</f>
        <v>#N/A</v>
      </c>
    </row>
    <row r="680" spans="1:10" ht="15" hidden="1" customHeight="1" x14ac:dyDescent="0.25">
      <c r="A680" s="644"/>
      <c r="B680" s="644"/>
      <c r="C680" s="644"/>
      <c r="D680" s="644"/>
      <c r="E680" s="305">
        <f>SUMIF(Adjustments!A:A,A680,Adjustments!C:C)</f>
        <v>0</v>
      </c>
      <c r="F680" s="278">
        <f t="shared" si="9"/>
        <v>0</v>
      </c>
      <c r="G680" s="263" t="e">
        <v>#N/A</v>
      </c>
      <c r="H680" s="266" t="e">
        <f>VLOOKUP('Trial Balance'!$A680,'Code Allocation'!$A:$D,4,0)</f>
        <v>#N/A</v>
      </c>
      <c r="I680" s="267" t="e">
        <f>VLOOKUP('Trial Balance'!$A680,'Code Allocation'!$A:$E,5,0)</f>
        <v>#N/A</v>
      </c>
      <c r="J680" s="268" t="e">
        <f>VLOOKUP('Trial Balance'!$A680,'Code Allocation'!$A:$F,6,0)</f>
        <v>#N/A</v>
      </c>
    </row>
    <row r="681" spans="1:10" ht="15" hidden="1" customHeight="1" x14ac:dyDescent="0.25">
      <c r="A681" s="644"/>
      <c r="B681" s="644"/>
      <c r="C681" s="644"/>
      <c r="D681" s="644"/>
      <c r="E681" s="305">
        <f>SUMIF(Adjustments!A:A,A681,Adjustments!C:C)</f>
        <v>0</v>
      </c>
      <c r="F681" s="278">
        <f t="shared" si="9"/>
        <v>0</v>
      </c>
      <c r="G681" s="263" t="e">
        <v>#N/A</v>
      </c>
      <c r="H681" s="266" t="e">
        <f>VLOOKUP('Trial Balance'!$A681,'Code Allocation'!$A:$D,4,0)</f>
        <v>#N/A</v>
      </c>
      <c r="I681" s="267" t="e">
        <f>VLOOKUP('Trial Balance'!$A681,'Code Allocation'!$A:$E,5,0)</f>
        <v>#N/A</v>
      </c>
      <c r="J681" s="268" t="e">
        <f>VLOOKUP('Trial Balance'!$A681,'Code Allocation'!$A:$F,6,0)</f>
        <v>#N/A</v>
      </c>
    </row>
    <row r="682" spans="1:10" ht="15" hidden="1" customHeight="1" x14ac:dyDescent="0.25">
      <c r="A682" s="644"/>
      <c r="B682" s="644"/>
      <c r="C682" s="644"/>
      <c r="D682" s="644"/>
      <c r="E682" s="305">
        <f>SUMIF(Adjustments!A:A,A682,Adjustments!C:C)</f>
        <v>0</v>
      </c>
      <c r="F682" s="278">
        <f t="shared" si="9"/>
        <v>0</v>
      </c>
      <c r="G682" s="263" t="e">
        <v>#N/A</v>
      </c>
      <c r="H682" s="266" t="e">
        <f>VLOOKUP('Trial Balance'!$A682,'Code Allocation'!$A:$D,4,0)</f>
        <v>#N/A</v>
      </c>
      <c r="I682" s="267" t="e">
        <f>VLOOKUP('Trial Balance'!$A682,'Code Allocation'!$A:$E,5,0)</f>
        <v>#N/A</v>
      </c>
      <c r="J682" s="268" t="e">
        <f>VLOOKUP('Trial Balance'!$A682,'Code Allocation'!$A:$F,6,0)</f>
        <v>#N/A</v>
      </c>
    </row>
    <row r="683" spans="1:10" ht="15" hidden="1" customHeight="1" x14ac:dyDescent="0.25">
      <c r="A683" s="644"/>
      <c r="B683" s="644"/>
      <c r="C683" s="644"/>
      <c r="D683" s="644"/>
      <c r="E683" s="305">
        <f>SUMIF(Adjustments!A:A,A683,Adjustments!C:C)</f>
        <v>0</v>
      </c>
      <c r="F683" s="278">
        <f t="shared" si="9"/>
        <v>0</v>
      </c>
      <c r="G683" s="263" t="e">
        <v>#N/A</v>
      </c>
      <c r="H683" s="266" t="e">
        <f>VLOOKUP('Trial Balance'!$A683,'Code Allocation'!$A:$D,4,0)</f>
        <v>#N/A</v>
      </c>
      <c r="I683" s="267" t="e">
        <f>VLOOKUP('Trial Balance'!$A683,'Code Allocation'!$A:$E,5,0)</f>
        <v>#N/A</v>
      </c>
      <c r="J683" s="268" t="e">
        <f>VLOOKUP('Trial Balance'!$A683,'Code Allocation'!$A:$F,6,0)</f>
        <v>#N/A</v>
      </c>
    </row>
    <row r="684" spans="1:10" ht="15" hidden="1" customHeight="1" x14ac:dyDescent="0.25">
      <c r="A684" s="644"/>
      <c r="B684" s="644"/>
      <c r="C684" s="645"/>
      <c r="D684" s="644"/>
      <c r="E684" s="305">
        <f>SUMIF(Adjustments!A:A,A684,Adjustments!C:C)</f>
        <v>0</v>
      </c>
      <c r="F684" s="278">
        <f t="shared" ref="F684:F747" si="10">C684-D684+E684</f>
        <v>0</v>
      </c>
      <c r="G684" s="263" t="e">
        <v>#N/A</v>
      </c>
      <c r="H684" s="266" t="e">
        <f>VLOOKUP('Trial Balance'!$A684,'Code Allocation'!$A:$D,4,0)</f>
        <v>#N/A</v>
      </c>
      <c r="I684" s="267" t="e">
        <f>VLOOKUP('Trial Balance'!$A684,'Code Allocation'!$A:$E,5,0)</f>
        <v>#N/A</v>
      </c>
      <c r="J684" s="268" t="e">
        <f>VLOOKUP('Trial Balance'!$A684,'Code Allocation'!$A:$F,6,0)</f>
        <v>#N/A</v>
      </c>
    </row>
    <row r="685" spans="1:10" ht="15" hidden="1" customHeight="1" x14ac:dyDescent="0.25">
      <c r="A685" s="644"/>
      <c r="B685" s="644"/>
      <c r="C685" s="644"/>
      <c r="D685" s="644"/>
      <c r="E685" s="305">
        <f>SUMIF(Adjustments!A:A,A685,Adjustments!C:C)</f>
        <v>0</v>
      </c>
      <c r="F685" s="278">
        <f t="shared" si="10"/>
        <v>0</v>
      </c>
      <c r="G685" s="263" t="e">
        <v>#N/A</v>
      </c>
      <c r="H685" s="266" t="e">
        <f>VLOOKUP('Trial Balance'!$A685,'Code Allocation'!$A:$D,4,0)</f>
        <v>#N/A</v>
      </c>
      <c r="I685" s="267" t="e">
        <f>VLOOKUP('Trial Balance'!$A685,'Code Allocation'!$A:$E,5,0)</f>
        <v>#N/A</v>
      </c>
      <c r="J685" s="268" t="e">
        <f>VLOOKUP('Trial Balance'!$A685,'Code Allocation'!$A:$F,6,0)</f>
        <v>#N/A</v>
      </c>
    </row>
    <row r="686" spans="1:10" ht="15" hidden="1" customHeight="1" x14ac:dyDescent="0.25">
      <c r="A686" s="644"/>
      <c r="B686" s="644"/>
      <c r="C686" s="644"/>
      <c r="D686" s="644"/>
      <c r="E686" s="305">
        <f>SUMIF(Adjustments!A:A,A686,Adjustments!C:C)</f>
        <v>0</v>
      </c>
      <c r="F686" s="278">
        <f t="shared" si="10"/>
        <v>0</v>
      </c>
      <c r="G686" s="263" t="e">
        <v>#N/A</v>
      </c>
      <c r="H686" s="266" t="e">
        <f>VLOOKUP('Trial Balance'!$A686,'Code Allocation'!$A:$D,4,0)</f>
        <v>#N/A</v>
      </c>
      <c r="I686" s="267" t="e">
        <f>VLOOKUP('Trial Balance'!$A686,'Code Allocation'!$A:$E,5,0)</f>
        <v>#N/A</v>
      </c>
      <c r="J686" s="268" t="e">
        <f>VLOOKUP('Trial Balance'!$A686,'Code Allocation'!$A:$F,6,0)</f>
        <v>#N/A</v>
      </c>
    </row>
    <row r="687" spans="1:10" ht="15" hidden="1" customHeight="1" x14ac:dyDescent="0.25">
      <c r="A687" s="644"/>
      <c r="B687" s="644"/>
      <c r="C687" s="644"/>
      <c r="D687" s="645"/>
      <c r="E687" s="305">
        <f>SUMIF(Adjustments!A:A,A687,Adjustments!C:C)</f>
        <v>0</v>
      </c>
      <c r="F687" s="278">
        <f t="shared" si="10"/>
        <v>0</v>
      </c>
      <c r="G687" s="263" t="e">
        <v>#N/A</v>
      </c>
      <c r="H687" s="266" t="e">
        <f>VLOOKUP('Trial Balance'!$A687,'Code Allocation'!$A:$D,4,0)</f>
        <v>#N/A</v>
      </c>
      <c r="I687" s="267" t="e">
        <f>VLOOKUP('Trial Balance'!$A687,'Code Allocation'!$A:$E,5,0)</f>
        <v>#N/A</v>
      </c>
      <c r="J687" s="268" t="e">
        <f>VLOOKUP('Trial Balance'!$A687,'Code Allocation'!$A:$F,6,0)</f>
        <v>#N/A</v>
      </c>
    </row>
    <row r="688" spans="1:10" ht="15" hidden="1" customHeight="1" x14ac:dyDescent="0.25">
      <c r="A688" s="644"/>
      <c r="B688" s="644"/>
      <c r="C688" s="645"/>
      <c r="D688" s="644"/>
      <c r="E688" s="305">
        <f>SUMIF(Adjustments!A:A,A688,Adjustments!C:C)</f>
        <v>0</v>
      </c>
      <c r="F688" s="278">
        <f t="shared" si="10"/>
        <v>0</v>
      </c>
      <c r="G688" s="263" t="e">
        <v>#N/A</v>
      </c>
      <c r="H688" s="266" t="e">
        <f>VLOOKUP('Trial Balance'!$A688,'Code Allocation'!$A:$D,4,0)</f>
        <v>#N/A</v>
      </c>
      <c r="I688" s="267" t="e">
        <f>VLOOKUP('Trial Balance'!$A688,'Code Allocation'!$A:$E,5,0)</f>
        <v>#N/A</v>
      </c>
      <c r="J688" s="268" t="e">
        <f>VLOOKUP('Trial Balance'!$A688,'Code Allocation'!$A:$F,6,0)</f>
        <v>#N/A</v>
      </c>
    </row>
    <row r="689" spans="1:10" ht="15" hidden="1" customHeight="1" x14ac:dyDescent="0.25">
      <c r="A689" s="644"/>
      <c r="B689" s="644"/>
      <c r="C689" s="644"/>
      <c r="D689" s="644"/>
      <c r="E689" s="305">
        <f>SUMIF(Adjustments!A:A,A689,Adjustments!C:C)</f>
        <v>0</v>
      </c>
      <c r="F689" s="278">
        <f t="shared" si="10"/>
        <v>0</v>
      </c>
      <c r="G689" s="263" t="e">
        <v>#N/A</v>
      </c>
      <c r="H689" s="266" t="e">
        <f>VLOOKUP('Trial Balance'!$A689,'Code Allocation'!$A:$D,4,0)</f>
        <v>#N/A</v>
      </c>
      <c r="I689" s="267" t="e">
        <f>VLOOKUP('Trial Balance'!$A689,'Code Allocation'!$A:$E,5,0)</f>
        <v>#N/A</v>
      </c>
      <c r="J689" s="268" t="e">
        <f>VLOOKUP('Trial Balance'!$A689,'Code Allocation'!$A:$F,6,0)</f>
        <v>#N/A</v>
      </c>
    </row>
    <row r="690" spans="1:10" ht="15" hidden="1" customHeight="1" x14ac:dyDescent="0.25">
      <c r="A690" s="644"/>
      <c r="B690" s="644"/>
      <c r="C690" s="645"/>
      <c r="D690" s="644"/>
      <c r="E690" s="305">
        <f>SUMIF(Adjustments!A:A,A690,Adjustments!C:C)</f>
        <v>0</v>
      </c>
      <c r="F690" s="278">
        <f t="shared" si="10"/>
        <v>0</v>
      </c>
      <c r="G690" s="263" t="e">
        <v>#N/A</v>
      </c>
      <c r="H690" s="266" t="e">
        <f>VLOOKUP('Trial Balance'!$A690,'Code Allocation'!$A:$D,4,0)</f>
        <v>#N/A</v>
      </c>
      <c r="I690" s="267" t="e">
        <f>VLOOKUP('Trial Balance'!$A690,'Code Allocation'!$A:$E,5,0)</f>
        <v>#N/A</v>
      </c>
      <c r="J690" s="268" t="e">
        <f>VLOOKUP('Trial Balance'!$A690,'Code Allocation'!$A:$F,6,0)</f>
        <v>#N/A</v>
      </c>
    </row>
    <row r="691" spans="1:10" ht="15" hidden="1" customHeight="1" x14ac:dyDescent="0.25">
      <c r="A691" s="644"/>
      <c r="B691" s="644"/>
      <c r="C691" s="644"/>
      <c r="D691" s="644"/>
      <c r="E691" s="305">
        <f>SUMIF(Adjustments!A:A,A691,Adjustments!C:C)</f>
        <v>0</v>
      </c>
      <c r="F691" s="278">
        <f t="shared" si="10"/>
        <v>0</v>
      </c>
      <c r="G691" s="263" t="e">
        <v>#N/A</v>
      </c>
      <c r="H691" s="266" t="e">
        <f>VLOOKUP('Trial Balance'!$A691,'Code Allocation'!$A:$D,4,0)</f>
        <v>#N/A</v>
      </c>
      <c r="I691" s="267" t="e">
        <f>VLOOKUP('Trial Balance'!$A691,'Code Allocation'!$A:$E,5,0)</f>
        <v>#N/A</v>
      </c>
      <c r="J691" s="268" t="e">
        <f>VLOOKUP('Trial Balance'!$A691,'Code Allocation'!$A:$F,6,0)</f>
        <v>#N/A</v>
      </c>
    </row>
    <row r="692" spans="1:10" ht="15" hidden="1" customHeight="1" x14ac:dyDescent="0.25">
      <c r="A692" s="644"/>
      <c r="B692" s="644"/>
      <c r="C692" s="644"/>
      <c r="D692" s="644"/>
      <c r="E692" s="305">
        <f>SUMIF(Adjustments!A:A,A692,Adjustments!C:C)</f>
        <v>0</v>
      </c>
      <c r="F692" s="278">
        <f t="shared" si="10"/>
        <v>0</v>
      </c>
      <c r="G692" s="263" t="e">
        <v>#N/A</v>
      </c>
      <c r="H692" s="266" t="e">
        <f>VLOOKUP('Trial Balance'!$A692,'Code Allocation'!$A:$D,4,0)</f>
        <v>#N/A</v>
      </c>
      <c r="I692" s="267" t="e">
        <f>VLOOKUP('Trial Balance'!$A692,'Code Allocation'!$A:$E,5,0)</f>
        <v>#N/A</v>
      </c>
      <c r="J692" s="268" t="e">
        <f>VLOOKUP('Trial Balance'!$A692,'Code Allocation'!$A:$F,6,0)</f>
        <v>#N/A</v>
      </c>
    </row>
    <row r="693" spans="1:10" ht="15" hidden="1" customHeight="1" x14ac:dyDescent="0.25">
      <c r="A693" s="644"/>
      <c r="B693" s="644"/>
      <c r="C693" s="644"/>
      <c r="D693" s="644"/>
      <c r="E693" s="305">
        <f>SUMIF(Adjustments!A:A,A693,Adjustments!C:C)</f>
        <v>0</v>
      </c>
      <c r="F693" s="278">
        <f t="shared" si="10"/>
        <v>0</v>
      </c>
      <c r="G693" s="263" t="e">
        <v>#N/A</v>
      </c>
      <c r="H693" s="266" t="e">
        <f>VLOOKUP('Trial Balance'!$A693,'Code Allocation'!$A:$D,4,0)</f>
        <v>#N/A</v>
      </c>
      <c r="I693" s="267" t="e">
        <f>VLOOKUP('Trial Balance'!$A693,'Code Allocation'!$A:$E,5,0)</f>
        <v>#N/A</v>
      </c>
      <c r="J693" s="268" t="e">
        <f>VLOOKUP('Trial Balance'!$A693,'Code Allocation'!$A:$F,6,0)</f>
        <v>#N/A</v>
      </c>
    </row>
    <row r="694" spans="1:10" ht="15" hidden="1" customHeight="1" x14ac:dyDescent="0.25">
      <c r="A694" s="644"/>
      <c r="B694" s="644"/>
      <c r="C694" s="644"/>
      <c r="D694" s="644"/>
      <c r="E694" s="305">
        <f>SUMIF(Adjustments!A:A,A694,Adjustments!C:C)</f>
        <v>0</v>
      </c>
      <c r="F694" s="278">
        <f t="shared" si="10"/>
        <v>0</v>
      </c>
      <c r="G694" s="263" t="e">
        <v>#N/A</v>
      </c>
      <c r="H694" s="266" t="e">
        <f>VLOOKUP('Trial Balance'!$A694,'Code Allocation'!$A:$D,4,0)</f>
        <v>#N/A</v>
      </c>
      <c r="I694" s="267" t="e">
        <f>VLOOKUP('Trial Balance'!$A694,'Code Allocation'!$A:$E,5,0)</f>
        <v>#N/A</v>
      </c>
      <c r="J694" s="268" t="e">
        <f>VLOOKUP('Trial Balance'!$A694,'Code Allocation'!$A:$F,6,0)</f>
        <v>#N/A</v>
      </c>
    </row>
    <row r="695" spans="1:10" ht="15" hidden="1" customHeight="1" x14ac:dyDescent="0.25">
      <c r="A695" s="644"/>
      <c r="B695" s="644"/>
      <c r="C695" s="644"/>
      <c r="D695" s="644"/>
      <c r="E695" s="305">
        <f>SUMIF(Adjustments!A:A,A695,Adjustments!C:C)</f>
        <v>0</v>
      </c>
      <c r="F695" s="278">
        <f t="shared" si="10"/>
        <v>0</v>
      </c>
      <c r="G695" s="263" t="e">
        <v>#N/A</v>
      </c>
      <c r="H695" s="266" t="e">
        <f>VLOOKUP('Trial Balance'!$A695,'Code Allocation'!$A:$D,4,0)</f>
        <v>#N/A</v>
      </c>
      <c r="I695" s="267" t="e">
        <f>VLOOKUP('Trial Balance'!$A695,'Code Allocation'!$A:$E,5,0)</f>
        <v>#N/A</v>
      </c>
      <c r="J695" s="268" t="e">
        <f>VLOOKUP('Trial Balance'!$A695,'Code Allocation'!$A:$F,6,0)</f>
        <v>#N/A</v>
      </c>
    </row>
    <row r="696" spans="1:10" ht="15" hidden="1" customHeight="1" x14ac:dyDescent="0.25">
      <c r="A696" s="644"/>
      <c r="B696" s="644"/>
      <c r="C696" s="644"/>
      <c r="D696" s="644"/>
      <c r="E696" s="305">
        <f>SUMIF(Adjustments!A:A,A696,Adjustments!C:C)</f>
        <v>0</v>
      </c>
      <c r="F696" s="278">
        <f t="shared" si="10"/>
        <v>0</v>
      </c>
      <c r="G696" s="263" t="e">
        <v>#N/A</v>
      </c>
      <c r="H696" s="266" t="e">
        <f>VLOOKUP('Trial Balance'!$A696,'Code Allocation'!$A:$D,4,0)</f>
        <v>#N/A</v>
      </c>
      <c r="I696" s="267" t="e">
        <f>VLOOKUP('Trial Balance'!$A696,'Code Allocation'!$A:$E,5,0)</f>
        <v>#N/A</v>
      </c>
      <c r="J696" s="268" t="e">
        <f>VLOOKUP('Trial Balance'!$A696,'Code Allocation'!$A:$F,6,0)</f>
        <v>#N/A</v>
      </c>
    </row>
    <row r="697" spans="1:10" ht="15" hidden="1" customHeight="1" x14ac:dyDescent="0.25">
      <c r="A697" s="644"/>
      <c r="B697" s="644"/>
      <c r="C697" s="644"/>
      <c r="D697" s="644"/>
      <c r="E697" s="305">
        <f>SUMIF(Adjustments!A:A,A697,Adjustments!C:C)</f>
        <v>0</v>
      </c>
      <c r="F697" s="278">
        <f t="shared" si="10"/>
        <v>0</v>
      </c>
      <c r="G697" s="263" t="e">
        <v>#N/A</v>
      </c>
      <c r="H697" s="266" t="e">
        <f>VLOOKUP('Trial Balance'!$A697,'Code Allocation'!$A:$D,4,0)</f>
        <v>#N/A</v>
      </c>
      <c r="I697" s="267" t="e">
        <f>VLOOKUP('Trial Balance'!$A697,'Code Allocation'!$A:$E,5,0)</f>
        <v>#N/A</v>
      </c>
      <c r="J697" s="268" t="e">
        <f>VLOOKUP('Trial Balance'!$A697,'Code Allocation'!$A:$F,6,0)</f>
        <v>#N/A</v>
      </c>
    </row>
    <row r="698" spans="1:10" ht="15" hidden="1" customHeight="1" x14ac:dyDescent="0.25">
      <c r="A698" s="644"/>
      <c r="B698" s="644"/>
      <c r="C698" s="644"/>
      <c r="D698" s="644"/>
      <c r="E698" s="305">
        <f>SUMIF(Adjustments!A:A,A698,Adjustments!C:C)</f>
        <v>0</v>
      </c>
      <c r="F698" s="278">
        <f t="shared" si="10"/>
        <v>0</v>
      </c>
      <c r="G698" s="263" t="e">
        <v>#N/A</v>
      </c>
      <c r="H698" s="266" t="e">
        <f>VLOOKUP('Trial Balance'!$A698,'Code Allocation'!$A:$D,4,0)</f>
        <v>#N/A</v>
      </c>
      <c r="I698" s="267" t="e">
        <f>VLOOKUP('Trial Balance'!$A698,'Code Allocation'!$A:$E,5,0)</f>
        <v>#N/A</v>
      </c>
      <c r="J698" s="268" t="e">
        <f>VLOOKUP('Trial Balance'!$A698,'Code Allocation'!$A:$F,6,0)</f>
        <v>#N/A</v>
      </c>
    </row>
    <row r="699" spans="1:10" ht="15" hidden="1" customHeight="1" x14ac:dyDescent="0.25">
      <c r="A699" s="644"/>
      <c r="B699" s="644"/>
      <c r="C699" s="644"/>
      <c r="D699" s="644"/>
      <c r="E699" s="305">
        <f>SUMIF(Adjustments!A:A,A699,Adjustments!C:C)</f>
        <v>0</v>
      </c>
      <c r="F699" s="278">
        <f t="shared" si="10"/>
        <v>0</v>
      </c>
      <c r="G699" s="263" t="e">
        <v>#N/A</v>
      </c>
      <c r="H699" s="266" t="e">
        <f>VLOOKUP('Trial Balance'!$A699,'Code Allocation'!$A:$D,4,0)</f>
        <v>#N/A</v>
      </c>
      <c r="I699" s="267" t="e">
        <f>VLOOKUP('Trial Balance'!$A699,'Code Allocation'!$A:$E,5,0)</f>
        <v>#N/A</v>
      </c>
      <c r="J699" s="268" t="e">
        <f>VLOOKUP('Trial Balance'!$A699,'Code Allocation'!$A:$F,6,0)</f>
        <v>#N/A</v>
      </c>
    </row>
    <row r="700" spans="1:10" ht="15" hidden="1" customHeight="1" x14ac:dyDescent="0.25">
      <c r="A700" s="644"/>
      <c r="B700" s="644"/>
      <c r="C700" s="644"/>
      <c r="D700" s="644"/>
      <c r="E700" s="305">
        <f>SUMIF(Adjustments!A:A,A700,Adjustments!C:C)</f>
        <v>0</v>
      </c>
      <c r="F700" s="278">
        <f t="shared" si="10"/>
        <v>0</v>
      </c>
      <c r="G700" s="263" t="e">
        <v>#N/A</v>
      </c>
      <c r="H700" s="266" t="e">
        <f>VLOOKUP('Trial Balance'!$A700,'Code Allocation'!$A:$D,4,0)</f>
        <v>#N/A</v>
      </c>
      <c r="I700" s="267" t="e">
        <f>VLOOKUP('Trial Balance'!$A700,'Code Allocation'!$A:$E,5,0)</f>
        <v>#N/A</v>
      </c>
      <c r="J700" s="268" t="e">
        <f>VLOOKUP('Trial Balance'!$A700,'Code Allocation'!$A:$F,6,0)</f>
        <v>#N/A</v>
      </c>
    </row>
    <row r="701" spans="1:10" ht="15" hidden="1" customHeight="1" x14ac:dyDescent="0.25">
      <c r="A701" s="644"/>
      <c r="B701" s="644"/>
      <c r="C701" s="645"/>
      <c r="D701" s="644"/>
      <c r="E701" s="305">
        <f>SUMIF(Adjustments!A:A,A701,Adjustments!C:C)</f>
        <v>0</v>
      </c>
      <c r="F701" s="278">
        <f t="shared" si="10"/>
        <v>0</v>
      </c>
      <c r="G701" s="263" t="e">
        <v>#N/A</v>
      </c>
      <c r="H701" s="266" t="e">
        <f>VLOOKUP('Trial Balance'!$A701,'Code Allocation'!$A:$D,4,0)</f>
        <v>#N/A</v>
      </c>
      <c r="I701" s="267" t="e">
        <f>VLOOKUP('Trial Balance'!$A701,'Code Allocation'!$A:$E,5,0)</f>
        <v>#N/A</v>
      </c>
      <c r="J701" s="268" t="e">
        <f>VLOOKUP('Trial Balance'!$A701,'Code Allocation'!$A:$F,6,0)</f>
        <v>#N/A</v>
      </c>
    </row>
    <row r="702" spans="1:10" ht="15" hidden="1" customHeight="1" x14ac:dyDescent="0.25">
      <c r="A702" s="644"/>
      <c r="B702" s="644"/>
      <c r="C702" s="645"/>
      <c r="D702" s="644"/>
      <c r="E702" s="305">
        <f>SUMIF(Adjustments!A:A,A702,Adjustments!C:C)</f>
        <v>0</v>
      </c>
      <c r="F702" s="278">
        <f t="shared" si="10"/>
        <v>0</v>
      </c>
      <c r="G702" s="263" t="e">
        <v>#N/A</v>
      </c>
      <c r="H702" s="266" t="e">
        <f>VLOOKUP('Trial Balance'!$A702,'Code Allocation'!$A:$D,4,0)</f>
        <v>#N/A</v>
      </c>
      <c r="I702" s="267" t="e">
        <f>VLOOKUP('Trial Balance'!$A702,'Code Allocation'!$A:$E,5,0)</f>
        <v>#N/A</v>
      </c>
      <c r="J702" s="268" t="e">
        <f>VLOOKUP('Trial Balance'!$A702,'Code Allocation'!$A:$F,6,0)</f>
        <v>#N/A</v>
      </c>
    </row>
    <row r="703" spans="1:10" ht="15" hidden="1" customHeight="1" x14ac:dyDescent="0.25">
      <c r="A703" s="644"/>
      <c r="B703" s="644"/>
      <c r="C703" s="644"/>
      <c r="D703" s="644"/>
      <c r="E703" s="305">
        <f>SUMIF(Adjustments!A:A,A703,Adjustments!C:C)</f>
        <v>0</v>
      </c>
      <c r="F703" s="278">
        <f t="shared" si="10"/>
        <v>0</v>
      </c>
      <c r="G703" s="263" t="e">
        <v>#N/A</v>
      </c>
      <c r="H703" s="266" t="e">
        <f>VLOOKUP('Trial Balance'!$A703,'Code Allocation'!$A:$D,4,0)</f>
        <v>#N/A</v>
      </c>
      <c r="I703" s="267" t="e">
        <f>VLOOKUP('Trial Balance'!$A703,'Code Allocation'!$A:$E,5,0)</f>
        <v>#N/A</v>
      </c>
      <c r="J703" s="268" t="e">
        <f>VLOOKUP('Trial Balance'!$A703,'Code Allocation'!$A:$F,6,0)</f>
        <v>#N/A</v>
      </c>
    </row>
    <row r="704" spans="1:10" ht="15" hidden="1" customHeight="1" x14ac:dyDescent="0.25">
      <c r="A704" s="644"/>
      <c r="B704" s="644"/>
      <c r="C704" s="644"/>
      <c r="D704" s="644"/>
      <c r="E704" s="305">
        <f>SUMIF(Adjustments!A:A,A704,Adjustments!C:C)</f>
        <v>0</v>
      </c>
      <c r="F704" s="278">
        <f t="shared" si="10"/>
        <v>0</v>
      </c>
      <c r="G704" s="263" t="e">
        <v>#N/A</v>
      </c>
      <c r="H704" s="266" t="e">
        <f>VLOOKUP('Trial Balance'!$A704,'Code Allocation'!$A:$D,4,0)</f>
        <v>#N/A</v>
      </c>
      <c r="I704" s="267" t="e">
        <f>VLOOKUP('Trial Balance'!$A704,'Code Allocation'!$A:$E,5,0)</f>
        <v>#N/A</v>
      </c>
      <c r="J704" s="268" t="e">
        <f>VLOOKUP('Trial Balance'!$A704,'Code Allocation'!$A:$F,6,0)</f>
        <v>#N/A</v>
      </c>
    </row>
    <row r="705" spans="1:10" ht="15" hidden="1" customHeight="1" x14ac:dyDescent="0.25">
      <c r="A705" s="644"/>
      <c r="B705" s="644"/>
      <c r="C705" s="644"/>
      <c r="D705" s="644"/>
      <c r="E705" s="305">
        <f>SUMIF(Adjustments!A:A,A705,Adjustments!C:C)</f>
        <v>0</v>
      </c>
      <c r="F705" s="278">
        <f t="shared" si="10"/>
        <v>0</v>
      </c>
      <c r="G705" s="263" t="e">
        <v>#N/A</v>
      </c>
      <c r="H705" s="266" t="e">
        <f>VLOOKUP('Trial Balance'!$A705,'Code Allocation'!$A:$D,4,0)</f>
        <v>#N/A</v>
      </c>
      <c r="I705" s="267" t="e">
        <f>VLOOKUP('Trial Balance'!$A705,'Code Allocation'!$A:$E,5,0)</f>
        <v>#N/A</v>
      </c>
      <c r="J705" s="268" t="e">
        <f>VLOOKUP('Trial Balance'!$A705,'Code Allocation'!$A:$F,6,0)</f>
        <v>#N/A</v>
      </c>
    </row>
    <row r="706" spans="1:10" ht="15" hidden="1" customHeight="1" x14ac:dyDescent="0.25">
      <c r="A706" s="644"/>
      <c r="B706" s="644"/>
      <c r="C706" s="644"/>
      <c r="D706" s="644"/>
      <c r="E706" s="305">
        <f>SUMIF(Adjustments!A:A,A706,Adjustments!C:C)</f>
        <v>0</v>
      </c>
      <c r="F706" s="278">
        <f t="shared" si="10"/>
        <v>0</v>
      </c>
      <c r="G706" s="263" t="e">
        <v>#N/A</v>
      </c>
      <c r="H706" s="266" t="e">
        <f>VLOOKUP('Trial Balance'!$A706,'Code Allocation'!$A:$D,4,0)</f>
        <v>#N/A</v>
      </c>
      <c r="I706" s="267" t="e">
        <f>VLOOKUP('Trial Balance'!$A706,'Code Allocation'!$A:$E,5,0)</f>
        <v>#N/A</v>
      </c>
      <c r="J706" s="268" t="e">
        <f>VLOOKUP('Trial Balance'!$A706,'Code Allocation'!$A:$F,6,0)</f>
        <v>#N/A</v>
      </c>
    </row>
    <row r="707" spans="1:10" ht="15" hidden="1" customHeight="1" x14ac:dyDescent="0.25">
      <c r="A707" s="644"/>
      <c r="B707" s="644"/>
      <c r="C707" s="644"/>
      <c r="D707" s="644"/>
      <c r="E707" s="305">
        <f>SUMIF(Adjustments!A:A,A707,Adjustments!C:C)</f>
        <v>0</v>
      </c>
      <c r="F707" s="278">
        <f t="shared" si="10"/>
        <v>0</v>
      </c>
      <c r="G707" s="263" t="e">
        <v>#N/A</v>
      </c>
      <c r="H707" s="266" t="e">
        <f>VLOOKUP('Trial Balance'!$A707,'Code Allocation'!$A:$D,4,0)</f>
        <v>#N/A</v>
      </c>
      <c r="I707" s="267" t="e">
        <f>VLOOKUP('Trial Balance'!$A707,'Code Allocation'!$A:$E,5,0)</f>
        <v>#N/A</v>
      </c>
      <c r="J707" s="268" t="e">
        <f>VLOOKUP('Trial Balance'!$A707,'Code Allocation'!$A:$F,6,0)</f>
        <v>#N/A</v>
      </c>
    </row>
    <row r="708" spans="1:10" ht="15" hidden="1" customHeight="1" x14ac:dyDescent="0.25">
      <c r="A708" s="644"/>
      <c r="B708" s="644"/>
      <c r="C708" s="645"/>
      <c r="D708" s="644"/>
      <c r="E708" s="305">
        <f>SUMIF(Adjustments!A:A,A708,Adjustments!C:C)</f>
        <v>0</v>
      </c>
      <c r="F708" s="278">
        <f t="shared" si="10"/>
        <v>0</v>
      </c>
      <c r="G708" s="263" t="e">
        <v>#N/A</v>
      </c>
      <c r="H708" s="266" t="e">
        <f>VLOOKUP('Trial Balance'!$A708,'Code Allocation'!$A:$D,4,0)</f>
        <v>#N/A</v>
      </c>
      <c r="I708" s="267" t="e">
        <f>VLOOKUP('Trial Balance'!$A708,'Code Allocation'!$A:$E,5,0)</f>
        <v>#N/A</v>
      </c>
      <c r="J708" s="268" t="e">
        <f>VLOOKUP('Trial Balance'!$A708,'Code Allocation'!$A:$F,6,0)</f>
        <v>#N/A</v>
      </c>
    </row>
    <row r="709" spans="1:10" ht="15" hidden="1" customHeight="1" x14ac:dyDescent="0.25">
      <c r="A709" s="644"/>
      <c r="B709" s="644"/>
      <c r="C709" s="645"/>
      <c r="D709" s="644"/>
      <c r="E709" s="305">
        <f>SUMIF(Adjustments!A:A,A709,Adjustments!C:C)</f>
        <v>0</v>
      </c>
      <c r="F709" s="278">
        <f t="shared" si="10"/>
        <v>0</v>
      </c>
      <c r="G709" s="263" t="e">
        <v>#N/A</v>
      </c>
      <c r="H709" s="266" t="e">
        <f>VLOOKUP('Trial Balance'!$A709,'Code Allocation'!$A:$D,4,0)</f>
        <v>#N/A</v>
      </c>
      <c r="I709" s="267" t="e">
        <f>VLOOKUP('Trial Balance'!$A709,'Code Allocation'!$A:$E,5,0)</f>
        <v>#N/A</v>
      </c>
      <c r="J709" s="268" t="e">
        <f>VLOOKUP('Trial Balance'!$A709,'Code Allocation'!$A:$F,6,0)</f>
        <v>#N/A</v>
      </c>
    </row>
    <row r="710" spans="1:10" ht="15" hidden="1" customHeight="1" x14ac:dyDescent="0.25">
      <c r="A710" s="644"/>
      <c r="B710" s="644"/>
      <c r="C710" s="645"/>
      <c r="D710" s="644"/>
      <c r="E710" s="305">
        <f>SUMIF(Adjustments!A:A,A710,Adjustments!C:C)</f>
        <v>0</v>
      </c>
      <c r="F710" s="278">
        <f t="shared" si="10"/>
        <v>0</v>
      </c>
      <c r="G710" s="263" t="e">
        <v>#N/A</v>
      </c>
      <c r="H710" s="266" t="e">
        <f>VLOOKUP('Trial Balance'!$A710,'Code Allocation'!$A:$D,4,0)</f>
        <v>#N/A</v>
      </c>
      <c r="I710" s="267" t="e">
        <f>VLOOKUP('Trial Balance'!$A710,'Code Allocation'!$A:$E,5,0)</f>
        <v>#N/A</v>
      </c>
      <c r="J710" s="268" t="e">
        <f>VLOOKUP('Trial Balance'!$A710,'Code Allocation'!$A:$F,6,0)</f>
        <v>#N/A</v>
      </c>
    </row>
    <row r="711" spans="1:10" ht="15" hidden="1" customHeight="1" x14ac:dyDescent="0.25">
      <c r="A711" s="644"/>
      <c r="B711" s="644"/>
      <c r="C711" s="645"/>
      <c r="D711" s="644"/>
      <c r="E711" s="305">
        <f>SUMIF(Adjustments!A:A,A711,Adjustments!C:C)</f>
        <v>0</v>
      </c>
      <c r="F711" s="278">
        <f t="shared" si="10"/>
        <v>0</v>
      </c>
      <c r="G711" s="263" t="e">
        <v>#N/A</v>
      </c>
      <c r="H711" s="266" t="e">
        <f>VLOOKUP('Trial Balance'!$A711,'Code Allocation'!$A:$D,4,0)</f>
        <v>#N/A</v>
      </c>
      <c r="I711" s="267" t="e">
        <f>VLOOKUP('Trial Balance'!$A711,'Code Allocation'!$A:$E,5,0)</f>
        <v>#N/A</v>
      </c>
      <c r="J711" s="268" t="e">
        <f>VLOOKUP('Trial Balance'!$A711,'Code Allocation'!$A:$F,6,0)</f>
        <v>#N/A</v>
      </c>
    </row>
    <row r="712" spans="1:10" ht="15" hidden="1" customHeight="1" x14ac:dyDescent="0.25">
      <c r="A712" s="644"/>
      <c r="B712" s="644"/>
      <c r="C712" s="645"/>
      <c r="D712" s="644"/>
      <c r="E712" s="305">
        <f>SUMIF(Adjustments!A:A,A712,Adjustments!C:C)</f>
        <v>0</v>
      </c>
      <c r="F712" s="278">
        <f t="shared" si="10"/>
        <v>0</v>
      </c>
      <c r="G712" s="263" t="e">
        <v>#N/A</v>
      </c>
      <c r="H712" s="266" t="e">
        <f>VLOOKUP('Trial Balance'!$A712,'Code Allocation'!$A:$D,4,0)</f>
        <v>#N/A</v>
      </c>
      <c r="I712" s="267" t="e">
        <f>VLOOKUP('Trial Balance'!$A712,'Code Allocation'!$A:$E,5,0)</f>
        <v>#N/A</v>
      </c>
      <c r="J712" s="268" t="e">
        <f>VLOOKUP('Trial Balance'!$A712,'Code Allocation'!$A:$F,6,0)</f>
        <v>#N/A</v>
      </c>
    </row>
    <row r="713" spans="1:10" ht="15" hidden="1" customHeight="1" x14ac:dyDescent="0.25">
      <c r="A713" s="644"/>
      <c r="B713" s="644"/>
      <c r="C713" s="645"/>
      <c r="D713" s="644"/>
      <c r="E713" s="305">
        <f>SUMIF(Adjustments!A:A,A713,Adjustments!C:C)</f>
        <v>0</v>
      </c>
      <c r="F713" s="278">
        <f t="shared" si="10"/>
        <v>0</v>
      </c>
      <c r="G713" s="263" t="e">
        <v>#N/A</v>
      </c>
      <c r="H713" s="266" t="e">
        <f>VLOOKUP('Trial Balance'!$A713,'Code Allocation'!$A:$D,4,0)</f>
        <v>#N/A</v>
      </c>
      <c r="I713" s="267" t="e">
        <f>VLOOKUP('Trial Balance'!$A713,'Code Allocation'!$A:$E,5,0)</f>
        <v>#N/A</v>
      </c>
      <c r="J713" s="268" t="e">
        <f>VLOOKUP('Trial Balance'!$A713,'Code Allocation'!$A:$F,6,0)</f>
        <v>#N/A</v>
      </c>
    </row>
    <row r="714" spans="1:10" ht="15" hidden="1" customHeight="1" x14ac:dyDescent="0.25">
      <c r="A714" s="644"/>
      <c r="B714" s="644"/>
      <c r="C714" s="645"/>
      <c r="D714" s="644"/>
      <c r="E714" s="305">
        <f>SUMIF(Adjustments!A:A,A714,Adjustments!C:C)</f>
        <v>0</v>
      </c>
      <c r="F714" s="278">
        <f t="shared" si="10"/>
        <v>0</v>
      </c>
      <c r="G714" s="263" t="e">
        <v>#N/A</v>
      </c>
      <c r="H714" s="266" t="e">
        <f>VLOOKUP('Trial Balance'!$A714,'Code Allocation'!$A:$D,4,0)</f>
        <v>#N/A</v>
      </c>
      <c r="I714" s="267" t="e">
        <f>VLOOKUP('Trial Balance'!$A714,'Code Allocation'!$A:$E,5,0)</f>
        <v>#N/A</v>
      </c>
      <c r="J714" s="268" t="e">
        <f>VLOOKUP('Trial Balance'!$A714,'Code Allocation'!$A:$F,6,0)</f>
        <v>#N/A</v>
      </c>
    </row>
    <row r="715" spans="1:10" ht="15" hidden="1" customHeight="1" x14ac:dyDescent="0.25">
      <c r="A715" s="644"/>
      <c r="B715" s="644"/>
      <c r="C715" s="645"/>
      <c r="D715" s="644"/>
      <c r="E715" s="305">
        <f>SUMIF(Adjustments!A:A,A715,Adjustments!C:C)</f>
        <v>0</v>
      </c>
      <c r="F715" s="278">
        <f t="shared" si="10"/>
        <v>0</v>
      </c>
      <c r="G715" s="263" t="e">
        <v>#N/A</v>
      </c>
      <c r="H715" s="266" t="e">
        <f>VLOOKUP('Trial Balance'!$A715,'Code Allocation'!$A:$D,4,0)</f>
        <v>#N/A</v>
      </c>
      <c r="I715" s="267" t="e">
        <f>VLOOKUP('Trial Balance'!$A715,'Code Allocation'!$A:$E,5,0)</f>
        <v>#N/A</v>
      </c>
      <c r="J715" s="268" t="e">
        <f>VLOOKUP('Trial Balance'!$A715,'Code Allocation'!$A:$F,6,0)</f>
        <v>#N/A</v>
      </c>
    </row>
    <row r="716" spans="1:10" ht="15" hidden="1" customHeight="1" x14ac:dyDescent="0.25">
      <c r="A716" s="644"/>
      <c r="B716" s="644"/>
      <c r="C716" s="644"/>
      <c r="D716" s="645"/>
      <c r="E716" s="305">
        <f>SUMIF(Adjustments!A:A,A716,Adjustments!C:C)</f>
        <v>0</v>
      </c>
      <c r="F716" s="278">
        <f t="shared" si="10"/>
        <v>0</v>
      </c>
      <c r="G716" s="263" t="e">
        <v>#N/A</v>
      </c>
      <c r="H716" s="266" t="e">
        <f>VLOOKUP('Trial Balance'!$A716,'Code Allocation'!$A:$D,4,0)</f>
        <v>#N/A</v>
      </c>
      <c r="I716" s="267" t="e">
        <f>VLOOKUP('Trial Balance'!$A716,'Code Allocation'!$A:$E,5,0)</f>
        <v>#N/A</v>
      </c>
      <c r="J716" s="268" t="e">
        <f>VLOOKUP('Trial Balance'!$A716,'Code Allocation'!$A:$F,6,0)</f>
        <v>#N/A</v>
      </c>
    </row>
    <row r="717" spans="1:10" ht="15" hidden="1" customHeight="1" x14ac:dyDescent="0.25">
      <c r="A717" s="644"/>
      <c r="B717" s="644"/>
      <c r="C717" s="645"/>
      <c r="D717" s="644"/>
      <c r="E717" s="305">
        <f>SUMIF(Adjustments!A:A,A717,Adjustments!C:C)</f>
        <v>0</v>
      </c>
      <c r="F717" s="278">
        <f t="shared" si="10"/>
        <v>0</v>
      </c>
      <c r="G717" s="263" t="e">
        <v>#N/A</v>
      </c>
      <c r="H717" s="266" t="e">
        <f>VLOOKUP('Trial Balance'!$A717,'Code Allocation'!$A:$D,4,0)</f>
        <v>#N/A</v>
      </c>
      <c r="I717" s="267" t="e">
        <f>VLOOKUP('Trial Balance'!$A717,'Code Allocation'!$A:$E,5,0)</f>
        <v>#N/A</v>
      </c>
      <c r="J717" s="268" t="e">
        <f>VLOOKUP('Trial Balance'!$A717,'Code Allocation'!$A:$F,6,0)</f>
        <v>#N/A</v>
      </c>
    </row>
    <row r="718" spans="1:10" ht="15" hidden="1" customHeight="1" x14ac:dyDescent="0.25">
      <c r="A718" s="644"/>
      <c r="B718" s="644"/>
      <c r="C718" s="644"/>
      <c r="D718" s="644"/>
      <c r="E718" s="305">
        <f>SUMIF(Adjustments!A:A,A718,Adjustments!C:C)</f>
        <v>0</v>
      </c>
      <c r="F718" s="278">
        <f t="shared" si="10"/>
        <v>0</v>
      </c>
      <c r="G718" s="263" t="e">
        <v>#N/A</v>
      </c>
      <c r="H718" s="266" t="e">
        <f>VLOOKUP('Trial Balance'!$A718,'Code Allocation'!$A:$D,4,0)</f>
        <v>#N/A</v>
      </c>
      <c r="I718" s="267" t="e">
        <f>VLOOKUP('Trial Balance'!$A718,'Code Allocation'!$A:$E,5,0)</f>
        <v>#N/A</v>
      </c>
      <c r="J718" s="268" t="e">
        <f>VLOOKUP('Trial Balance'!$A718,'Code Allocation'!$A:$F,6,0)</f>
        <v>#N/A</v>
      </c>
    </row>
    <row r="719" spans="1:10" ht="15" hidden="1" customHeight="1" x14ac:dyDescent="0.25">
      <c r="A719" s="644"/>
      <c r="B719" s="644"/>
      <c r="C719" s="645"/>
      <c r="D719" s="644"/>
      <c r="E719" s="305">
        <f>SUMIF(Adjustments!A:A,A719,Adjustments!C:C)</f>
        <v>0</v>
      </c>
      <c r="F719" s="278">
        <f t="shared" si="10"/>
        <v>0</v>
      </c>
      <c r="G719" s="263" t="e">
        <v>#N/A</v>
      </c>
      <c r="H719" s="266" t="e">
        <f>VLOOKUP('Trial Balance'!$A719,'Code Allocation'!$A:$D,4,0)</f>
        <v>#N/A</v>
      </c>
      <c r="I719" s="267" t="e">
        <f>VLOOKUP('Trial Balance'!$A719,'Code Allocation'!$A:$E,5,0)</f>
        <v>#N/A</v>
      </c>
      <c r="J719" s="268" t="e">
        <f>VLOOKUP('Trial Balance'!$A719,'Code Allocation'!$A:$F,6,0)</f>
        <v>#N/A</v>
      </c>
    </row>
    <row r="720" spans="1:10" ht="15" hidden="1" customHeight="1" x14ac:dyDescent="0.25">
      <c r="A720" s="644"/>
      <c r="B720" s="644"/>
      <c r="C720" s="644"/>
      <c r="D720" s="644"/>
      <c r="E720" s="305">
        <f>SUMIF(Adjustments!A:A,A720,Adjustments!C:C)</f>
        <v>0</v>
      </c>
      <c r="F720" s="278">
        <f t="shared" si="10"/>
        <v>0</v>
      </c>
      <c r="G720" s="263" t="e">
        <v>#N/A</v>
      </c>
      <c r="H720" s="266" t="e">
        <f>VLOOKUP('Trial Balance'!$A720,'Code Allocation'!$A:$D,4,0)</f>
        <v>#N/A</v>
      </c>
      <c r="I720" s="267" t="e">
        <f>VLOOKUP('Trial Balance'!$A720,'Code Allocation'!$A:$E,5,0)</f>
        <v>#N/A</v>
      </c>
      <c r="J720" s="268" t="e">
        <f>VLOOKUP('Trial Balance'!$A720,'Code Allocation'!$A:$F,6,0)</f>
        <v>#N/A</v>
      </c>
    </row>
    <row r="721" spans="1:10" ht="15" hidden="1" customHeight="1" x14ac:dyDescent="0.25">
      <c r="A721" s="644"/>
      <c r="B721" s="644"/>
      <c r="C721" s="645"/>
      <c r="D721" s="644"/>
      <c r="E721" s="305">
        <f>SUMIF(Adjustments!A:A,A721,Adjustments!C:C)</f>
        <v>0</v>
      </c>
      <c r="F721" s="278">
        <f t="shared" si="10"/>
        <v>0</v>
      </c>
      <c r="G721" s="263" t="e">
        <v>#N/A</v>
      </c>
      <c r="H721" s="266" t="e">
        <f>VLOOKUP('Trial Balance'!$A721,'Code Allocation'!$A:$D,4,0)</f>
        <v>#N/A</v>
      </c>
      <c r="I721" s="267" t="e">
        <f>VLOOKUP('Trial Balance'!$A721,'Code Allocation'!$A:$E,5,0)</f>
        <v>#N/A</v>
      </c>
      <c r="J721" s="268" t="e">
        <f>VLOOKUP('Trial Balance'!$A721,'Code Allocation'!$A:$F,6,0)</f>
        <v>#N/A</v>
      </c>
    </row>
    <row r="722" spans="1:10" ht="15" hidden="1" customHeight="1" x14ac:dyDescent="0.25">
      <c r="A722" s="644"/>
      <c r="B722" s="644"/>
      <c r="C722" s="644"/>
      <c r="D722" s="644"/>
      <c r="E722" s="305">
        <f>SUMIF(Adjustments!A:A,A722,Adjustments!C:C)</f>
        <v>0</v>
      </c>
      <c r="F722" s="278">
        <f t="shared" si="10"/>
        <v>0</v>
      </c>
      <c r="G722" s="263" t="e">
        <v>#N/A</v>
      </c>
      <c r="H722" s="266" t="e">
        <f>VLOOKUP('Trial Balance'!$A722,'Code Allocation'!$A:$D,4,0)</f>
        <v>#N/A</v>
      </c>
      <c r="I722" s="267" t="e">
        <f>VLOOKUP('Trial Balance'!$A722,'Code Allocation'!$A:$E,5,0)</f>
        <v>#N/A</v>
      </c>
      <c r="J722" s="268" t="e">
        <f>VLOOKUP('Trial Balance'!$A722,'Code Allocation'!$A:$F,6,0)</f>
        <v>#N/A</v>
      </c>
    </row>
    <row r="723" spans="1:10" ht="15" hidden="1" customHeight="1" x14ac:dyDescent="0.25">
      <c r="A723" s="644"/>
      <c r="B723" s="644"/>
      <c r="C723" s="645"/>
      <c r="D723" s="644"/>
      <c r="E723" s="305">
        <f>SUMIF(Adjustments!A:A,A723,Adjustments!C:C)</f>
        <v>0</v>
      </c>
      <c r="F723" s="278">
        <f t="shared" si="10"/>
        <v>0</v>
      </c>
      <c r="G723" s="263" t="e">
        <v>#N/A</v>
      </c>
      <c r="H723" s="266" t="e">
        <f>VLOOKUP('Trial Balance'!$A723,'Code Allocation'!$A:$D,4,0)</f>
        <v>#N/A</v>
      </c>
      <c r="I723" s="267" t="e">
        <f>VLOOKUP('Trial Balance'!$A723,'Code Allocation'!$A:$E,5,0)</f>
        <v>#N/A</v>
      </c>
      <c r="J723" s="268" t="e">
        <f>VLOOKUP('Trial Balance'!$A723,'Code Allocation'!$A:$F,6,0)</f>
        <v>#N/A</v>
      </c>
    </row>
    <row r="724" spans="1:10" ht="15" hidden="1" customHeight="1" x14ac:dyDescent="0.25">
      <c r="A724" s="644"/>
      <c r="B724" s="644"/>
      <c r="C724" s="644"/>
      <c r="D724" s="644"/>
      <c r="E724" s="305">
        <f>SUMIF(Adjustments!A:A,A724,Adjustments!C:C)</f>
        <v>0</v>
      </c>
      <c r="F724" s="278">
        <f t="shared" si="10"/>
        <v>0</v>
      </c>
      <c r="G724" s="263" t="e">
        <v>#N/A</v>
      </c>
      <c r="H724" s="266" t="e">
        <f>VLOOKUP('Trial Balance'!$A724,'Code Allocation'!$A:$D,4,0)</f>
        <v>#N/A</v>
      </c>
      <c r="I724" s="267" t="e">
        <f>VLOOKUP('Trial Balance'!$A724,'Code Allocation'!$A:$E,5,0)</f>
        <v>#N/A</v>
      </c>
      <c r="J724" s="268" t="e">
        <f>VLOOKUP('Trial Balance'!$A724,'Code Allocation'!$A:$F,6,0)</f>
        <v>#N/A</v>
      </c>
    </row>
    <row r="725" spans="1:10" ht="15" hidden="1" customHeight="1" x14ac:dyDescent="0.25">
      <c r="A725" s="644"/>
      <c r="B725" s="644"/>
      <c r="C725" s="644"/>
      <c r="D725" s="644"/>
      <c r="E725" s="305">
        <f>SUMIF(Adjustments!A:A,A725,Adjustments!C:C)</f>
        <v>0</v>
      </c>
      <c r="F725" s="278">
        <f t="shared" si="10"/>
        <v>0</v>
      </c>
      <c r="G725" s="263" t="e">
        <v>#N/A</v>
      </c>
      <c r="H725" s="266" t="e">
        <f>VLOOKUP('Trial Balance'!$A725,'Code Allocation'!$A:$D,4,0)</f>
        <v>#N/A</v>
      </c>
      <c r="I725" s="267" t="e">
        <f>VLOOKUP('Trial Balance'!$A725,'Code Allocation'!$A:$E,5,0)</f>
        <v>#N/A</v>
      </c>
      <c r="J725" s="268" t="e">
        <f>VLOOKUP('Trial Balance'!$A725,'Code Allocation'!$A:$F,6,0)</f>
        <v>#N/A</v>
      </c>
    </row>
    <row r="726" spans="1:10" ht="15" hidden="1" customHeight="1" x14ac:dyDescent="0.25">
      <c r="A726" s="644"/>
      <c r="B726" s="644"/>
      <c r="C726" s="644"/>
      <c r="D726" s="645"/>
      <c r="E726" s="305">
        <f>SUMIF(Adjustments!A:A,A726,Adjustments!C:C)</f>
        <v>0</v>
      </c>
      <c r="F726" s="278">
        <f t="shared" si="10"/>
        <v>0</v>
      </c>
      <c r="G726" s="263" t="e">
        <v>#N/A</v>
      </c>
      <c r="H726" s="266" t="e">
        <f>VLOOKUP('Trial Balance'!$A726,'Code Allocation'!$A:$D,4,0)</f>
        <v>#N/A</v>
      </c>
      <c r="I726" s="267" t="e">
        <f>VLOOKUP('Trial Balance'!$A726,'Code Allocation'!$A:$E,5,0)</f>
        <v>#N/A</v>
      </c>
      <c r="J726" s="268" t="e">
        <f>VLOOKUP('Trial Balance'!$A726,'Code Allocation'!$A:$F,6,0)</f>
        <v>#N/A</v>
      </c>
    </row>
    <row r="727" spans="1:10" ht="15" hidden="1" customHeight="1" x14ac:dyDescent="0.25">
      <c r="A727" s="644"/>
      <c r="B727" s="644"/>
      <c r="C727" s="644"/>
      <c r="D727" s="645"/>
      <c r="E727" s="305">
        <f>SUMIF(Adjustments!A:A,A727,Adjustments!C:C)</f>
        <v>0</v>
      </c>
      <c r="F727" s="278">
        <f t="shared" si="10"/>
        <v>0</v>
      </c>
      <c r="G727" s="263" t="e">
        <v>#N/A</v>
      </c>
      <c r="H727" s="266" t="e">
        <f>VLOOKUP('Trial Balance'!$A727,'Code Allocation'!$A:$D,4,0)</f>
        <v>#N/A</v>
      </c>
      <c r="I727" s="267" t="e">
        <f>VLOOKUP('Trial Balance'!$A727,'Code Allocation'!$A:$E,5,0)</f>
        <v>#N/A</v>
      </c>
      <c r="J727" s="268" t="e">
        <f>VLOOKUP('Trial Balance'!$A727,'Code Allocation'!$A:$F,6,0)</f>
        <v>#N/A</v>
      </c>
    </row>
    <row r="728" spans="1:10" ht="15" hidden="1" customHeight="1" x14ac:dyDescent="0.25">
      <c r="A728" s="644"/>
      <c r="B728" s="644"/>
      <c r="C728" s="644"/>
      <c r="D728" s="645"/>
      <c r="E728" s="305">
        <f>SUMIF(Adjustments!A:A,A728,Adjustments!C:C)</f>
        <v>0</v>
      </c>
      <c r="F728" s="278">
        <f t="shared" si="10"/>
        <v>0</v>
      </c>
      <c r="G728" s="263" t="e">
        <v>#N/A</v>
      </c>
      <c r="H728" s="266" t="e">
        <f>VLOOKUP('Trial Balance'!$A728,'Code Allocation'!$A:$D,4,0)</f>
        <v>#N/A</v>
      </c>
      <c r="I728" s="267" t="e">
        <f>VLOOKUP('Trial Balance'!$A728,'Code Allocation'!$A:$E,5,0)</f>
        <v>#N/A</v>
      </c>
      <c r="J728" s="268" t="e">
        <f>VLOOKUP('Trial Balance'!$A728,'Code Allocation'!$A:$F,6,0)</f>
        <v>#N/A</v>
      </c>
    </row>
    <row r="729" spans="1:10" ht="15" hidden="1" customHeight="1" x14ac:dyDescent="0.25">
      <c r="A729" s="644"/>
      <c r="B729" s="644"/>
      <c r="C729" s="644"/>
      <c r="D729" s="645"/>
      <c r="E729" s="305">
        <f>SUMIF(Adjustments!A:A,A729,Adjustments!C:C)</f>
        <v>0</v>
      </c>
      <c r="F729" s="278">
        <f t="shared" si="10"/>
        <v>0</v>
      </c>
      <c r="G729" s="263" t="e">
        <v>#N/A</v>
      </c>
      <c r="H729" s="266" t="e">
        <f>VLOOKUP('Trial Balance'!$A729,'Code Allocation'!$A:$D,4,0)</f>
        <v>#N/A</v>
      </c>
      <c r="I729" s="267" t="e">
        <f>VLOOKUP('Trial Balance'!$A729,'Code Allocation'!$A:$E,5,0)</f>
        <v>#N/A</v>
      </c>
      <c r="J729" s="268" t="e">
        <f>VLOOKUP('Trial Balance'!$A729,'Code Allocation'!$A:$F,6,0)</f>
        <v>#N/A</v>
      </c>
    </row>
    <row r="730" spans="1:10" ht="15" hidden="1" customHeight="1" x14ac:dyDescent="0.25">
      <c r="A730" s="644"/>
      <c r="B730" s="644"/>
      <c r="C730" s="644"/>
      <c r="D730" s="645"/>
      <c r="E730" s="305">
        <f>SUMIF(Adjustments!A:A,A730,Adjustments!C:C)</f>
        <v>0</v>
      </c>
      <c r="F730" s="278">
        <f t="shared" si="10"/>
        <v>0</v>
      </c>
      <c r="G730" s="263" t="e">
        <v>#N/A</v>
      </c>
      <c r="H730" s="266" t="e">
        <f>VLOOKUP('Trial Balance'!$A730,'Code Allocation'!$A:$D,4,0)</f>
        <v>#N/A</v>
      </c>
      <c r="I730" s="267" t="e">
        <f>VLOOKUP('Trial Balance'!$A730,'Code Allocation'!$A:$E,5,0)</f>
        <v>#N/A</v>
      </c>
      <c r="J730" s="268" t="e">
        <f>VLOOKUP('Trial Balance'!$A730,'Code Allocation'!$A:$F,6,0)</f>
        <v>#N/A</v>
      </c>
    </row>
    <row r="731" spans="1:10" ht="15" hidden="1" customHeight="1" x14ac:dyDescent="0.25">
      <c r="A731" s="644"/>
      <c r="B731" s="644"/>
      <c r="C731" s="644"/>
      <c r="D731" s="645"/>
      <c r="E731" s="305">
        <f>SUMIF(Adjustments!A:A,A731,Adjustments!C:C)</f>
        <v>0</v>
      </c>
      <c r="F731" s="278">
        <f t="shared" si="10"/>
        <v>0</v>
      </c>
      <c r="G731" s="263" t="e">
        <v>#N/A</v>
      </c>
      <c r="H731" s="266" t="e">
        <f>VLOOKUP('Trial Balance'!$A731,'Code Allocation'!$A:$D,4,0)</f>
        <v>#N/A</v>
      </c>
      <c r="I731" s="267" t="e">
        <f>VLOOKUP('Trial Balance'!$A731,'Code Allocation'!$A:$E,5,0)</f>
        <v>#N/A</v>
      </c>
      <c r="J731" s="268" t="e">
        <f>VLOOKUP('Trial Balance'!$A731,'Code Allocation'!$A:$F,6,0)</f>
        <v>#N/A</v>
      </c>
    </row>
    <row r="732" spans="1:10" ht="15" hidden="1" customHeight="1" x14ac:dyDescent="0.25">
      <c r="A732" s="644"/>
      <c r="B732" s="644"/>
      <c r="C732" s="644"/>
      <c r="D732" s="645"/>
      <c r="E732" s="305">
        <f>SUMIF(Adjustments!A:A,A732,Adjustments!C:C)</f>
        <v>0</v>
      </c>
      <c r="F732" s="278">
        <f t="shared" si="10"/>
        <v>0</v>
      </c>
      <c r="G732" s="263" t="e">
        <v>#N/A</v>
      </c>
      <c r="H732" s="266" t="e">
        <f>VLOOKUP('Trial Balance'!$A732,'Code Allocation'!$A:$D,4,0)</f>
        <v>#N/A</v>
      </c>
      <c r="I732" s="267" t="e">
        <f>VLOOKUP('Trial Balance'!$A732,'Code Allocation'!$A:$E,5,0)</f>
        <v>#N/A</v>
      </c>
      <c r="J732" s="268" t="e">
        <f>VLOOKUP('Trial Balance'!$A732,'Code Allocation'!$A:$F,6,0)</f>
        <v>#N/A</v>
      </c>
    </row>
    <row r="733" spans="1:10" ht="15" hidden="1" customHeight="1" x14ac:dyDescent="0.25">
      <c r="A733" s="644"/>
      <c r="B733" s="644"/>
      <c r="C733" s="644"/>
      <c r="D733" s="645"/>
      <c r="E733" s="305">
        <f>SUMIF(Adjustments!A:A,A733,Adjustments!C:C)</f>
        <v>0</v>
      </c>
      <c r="F733" s="278">
        <f t="shared" si="10"/>
        <v>0</v>
      </c>
      <c r="G733" s="263" t="e">
        <v>#N/A</v>
      </c>
      <c r="H733" s="266" t="e">
        <f>VLOOKUP('Trial Balance'!$A733,'Code Allocation'!$A:$D,4,0)</f>
        <v>#N/A</v>
      </c>
      <c r="I733" s="267" t="e">
        <f>VLOOKUP('Trial Balance'!$A733,'Code Allocation'!$A:$E,5,0)</f>
        <v>#N/A</v>
      </c>
      <c r="J733" s="268" t="e">
        <f>VLOOKUP('Trial Balance'!$A733,'Code Allocation'!$A:$F,6,0)</f>
        <v>#N/A</v>
      </c>
    </row>
    <row r="734" spans="1:10" ht="15" hidden="1" customHeight="1" x14ac:dyDescent="0.25">
      <c r="A734" s="644"/>
      <c r="B734" s="644"/>
      <c r="C734" s="645"/>
      <c r="D734" s="644"/>
      <c r="E734" s="305">
        <f>SUMIF(Adjustments!A:A,A734,Adjustments!C:C)</f>
        <v>0</v>
      </c>
      <c r="F734" s="278">
        <f t="shared" si="10"/>
        <v>0</v>
      </c>
      <c r="G734" s="263" t="e">
        <v>#N/A</v>
      </c>
      <c r="H734" s="266" t="e">
        <f>VLOOKUP('Trial Balance'!$A734,'Code Allocation'!$A:$D,4,0)</f>
        <v>#N/A</v>
      </c>
      <c r="I734" s="267" t="e">
        <f>VLOOKUP('Trial Balance'!$A734,'Code Allocation'!$A:$E,5,0)</f>
        <v>#N/A</v>
      </c>
      <c r="J734" s="268" t="e">
        <f>VLOOKUP('Trial Balance'!$A734,'Code Allocation'!$A:$F,6,0)</f>
        <v>#N/A</v>
      </c>
    </row>
    <row r="735" spans="1:10" ht="15" hidden="1" customHeight="1" x14ac:dyDescent="0.25">
      <c r="A735" s="644"/>
      <c r="B735" s="644"/>
      <c r="C735" s="645"/>
      <c r="D735" s="644"/>
      <c r="E735" s="305">
        <f>SUMIF(Adjustments!A:A,A735,Adjustments!C:C)</f>
        <v>0</v>
      </c>
      <c r="F735" s="278">
        <f t="shared" si="10"/>
        <v>0</v>
      </c>
      <c r="G735" s="263" t="e">
        <v>#N/A</v>
      </c>
      <c r="H735" s="266" t="e">
        <f>VLOOKUP('Trial Balance'!$A735,'Code Allocation'!$A:$D,4,0)</f>
        <v>#N/A</v>
      </c>
      <c r="I735" s="267" t="e">
        <f>VLOOKUP('Trial Balance'!$A735,'Code Allocation'!$A:$E,5,0)</f>
        <v>#N/A</v>
      </c>
      <c r="J735" s="268" t="e">
        <f>VLOOKUP('Trial Balance'!$A735,'Code Allocation'!$A:$F,6,0)</f>
        <v>#N/A</v>
      </c>
    </row>
    <row r="736" spans="1:10" ht="15" hidden="1" customHeight="1" x14ac:dyDescent="0.25">
      <c r="A736" s="644"/>
      <c r="B736" s="644"/>
      <c r="C736" s="644"/>
      <c r="D736" s="644"/>
      <c r="E736" s="305">
        <f>SUMIF(Adjustments!A:A,A736,Adjustments!C:C)</f>
        <v>0</v>
      </c>
      <c r="F736" s="278">
        <f t="shared" si="10"/>
        <v>0</v>
      </c>
      <c r="G736" s="263" t="e">
        <v>#N/A</v>
      </c>
      <c r="H736" s="266" t="e">
        <f>VLOOKUP('Trial Balance'!$A736,'Code Allocation'!$A:$D,4,0)</f>
        <v>#N/A</v>
      </c>
      <c r="I736" s="267" t="e">
        <f>VLOOKUP('Trial Balance'!$A736,'Code Allocation'!$A:$E,5,0)</f>
        <v>#N/A</v>
      </c>
      <c r="J736" s="268" t="e">
        <f>VLOOKUP('Trial Balance'!$A736,'Code Allocation'!$A:$F,6,0)</f>
        <v>#N/A</v>
      </c>
    </row>
    <row r="737" spans="1:10" ht="15" hidden="1" customHeight="1" x14ac:dyDescent="0.25">
      <c r="A737" s="644"/>
      <c r="B737" s="644"/>
      <c r="C737" s="645"/>
      <c r="D737" s="644"/>
      <c r="E737" s="305">
        <f>SUMIF(Adjustments!A:A,A737,Adjustments!C:C)</f>
        <v>0</v>
      </c>
      <c r="F737" s="278">
        <f t="shared" si="10"/>
        <v>0</v>
      </c>
      <c r="G737" s="263" t="e">
        <v>#N/A</v>
      </c>
      <c r="H737" s="266" t="e">
        <f>VLOOKUP('Trial Balance'!$A737,'Code Allocation'!$A:$D,4,0)</f>
        <v>#N/A</v>
      </c>
      <c r="I737" s="267" t="e">
        <f>VLOOKUP('Trial Balance'!$A737,'Code Allocation'!$A:$E,5,0)</f>
        <v>#N/A</v>
      </c>
      <c r="J737" s="268" t="e">
        <f>VLOOKUP('Trial Balance'!$A737,'Code Allocation'!$A:$F,6,0)</f>
        <v>#N/A</v>
      </c>
    </row>
    <row r="738" spans="1:10" ht="15" hidden="1" customHeight="1" x14ac:dyDescent="0.25">
      <c r="A738" s="644"/>
      <c r="B738" s="644"/>
      <c r="C738" s="644"/>
      <c r="D738" s="644"/>
      <c r="E738" s="305">
        <f>SUMIF(Adjustments!A:A,A738,Adjustments!C:C)</f>
        <v>0</v>
      </c>
      <c r="F738" s="278">
        <f t="shared" si="10"/>
        <v>0</v>
      </c>
      <c r="G738" s="263" t="e">
        <v>#N/A</v>
      </c>
      <c r="H738" s="266" t="e">
        <f>VLOOKUP('Trial Balance'!$A738,'Code Allocation'!$A:$D,4,0)</f>
        <v>#N/A</v>
      </c>
      <c r="I738" s="267" t="e">
        <f>VLOOKUP('Trial Balance'!$A738,'Code Allocation'!$A:$E,5,0)</f>
        <v>#N/A</v>
      </c>
      <c r="J738" s="268" t="e">
        <f>VLOOKUP('Trial Balance'!$A738,'Code Allocation'!$A:$F,6,0)</f>
        <v>#N/A</v>
      </c>
    </row>
    <row r="739" spans="1:10" ht="15" hidden="1" customHeight="1" x14ac:dyDescent="0.25">
      <c r="A739" s="644"/>
      <c r="B739" s="644"/>
      <c r="C739" s="645"/>
      <c r="D739" s="644"/>
      <c r="E739" s="305">
        <f>SUMIF(Adjustments!A:A,A739,Adjustments!C:C)</f>
        <v>0</v>
      </c>
      <c r="F739" s="278">
        <f t="shared" si="10"/>
        <v>0</v>
      </c>
      <c r="G739" s="263" t="e">
        <v>#N/A</v>
      </c>
      <c r="H739" s="266" t="e">
        <f>VLOOKUP('Trial Balance'!$A739,'Code Allocation'!$A:$D,4,0)</f>
        <v>#N/A</v>
      </c>
      <c r="I739" s="267" t="e">
        <f>VLOOKUP('Trial Balance'!$A739,'Code Allocation'!$A:$E,5,0)</f>
        <v>#N/A</v>
      </c>
      <c r="J739" s="268" t="e">
        <f>VLOOKUP('Trial Balance'!$A739,'Code Allocation'!$A:$F,6,0)</f>
        <v>#N/A</v>
      </c>
    </row>
    <row r="740" spans="1:10" ht="15" hidden="1" customHeight="1" x14ac:dyDescent="0.25">
      <c r="A740" s="644"/>
      <c r="B740" s="644"/>
      <c r="C740" s="645"/>
      <c r="D740" s="644"/>
      <c r="E740" s="305">
        <f>SUMIF(Adjustments!A:A,A740,Adjustments!C:C)</f>
        <v>0</v>
      </c>
      <c r="F740" s="278">
        <f t="shared" si="10"/>
        <v>0</v>
      </c>
      <c r="G740" s="263" t="e">
        <v>#N/A</v>
      </c>
      <c r="H740" s="266" t="e">
        <f>VLOOKUP('Trial Balance'!$A740,'Code Allocation'!$A:$D,4,0)</f>
        <v>#N/A</v>
      </c>
      <c r="I740" s="267" t="e">
        <f>VLOOKUP('Trial Balance'!$A740,'Code Allocation'!$A:$E,5,0)</f>
        <v>#N/A</v>
      </c>
      <c r="J740" s="268" t="e">
        <f>VLOOKUP('Trial Balance'!$A740,'Code Allocation'!$A:$F,6,0)</f>
        <v>#N/A</v>
      </c>
    </row>
    <row r="741" spans="1:10" ht="15" hidden="1" customHeight="1" x14ac:dyDescent="0.25">
      <c r="A741" s="644"/>
      <c r="B741" s="644"/>
      <c r="C741" s="645"/>
      <c r="D741" s="644"/>
      <c r="E741" s="305">
        <f>SUMIF(Adjustments!A:A,A741,Adjustments!C:C)</f>
        <v>0</v>
      </c>
      <c r="F741" s="278">
        <f t="shared" si="10"/>
        <v>0</v>
      </c>
      <c r="G741" s="263" t="e">
        <v>#N/A</v>
      </c>
      <c r="H741" s="266" t="e">
        <f>VLOOKUP('Trial Balance'!$A741,'Code Allocation'!$A:$D,4,0)</f>
        <v>#N/A</v>
      </c>
      <c r="I741" s="267" t="e">
        <f>VLOOKUP('Trial Balance'!$A741,'Code Allocation'!$A:$E,5,0)</f>
        <v>#N/A</v>
      </c>
      <c r="J741" s="268" t="e">
        <f>VLOOKUP('Trial Balance'!$A741,'Code Allocation'!$A:$F,6,0)</f>
        <v>#N/A</v>
      </c>
    </row>
    <row r="742" spans="1:10" ht="15" hidden="1" customHeight="1" x14ac:dyDescent="0.25">
      <c r="A742" s="644"/>
      <c r="B742" s="644"/>
      <c r="C742" s="644"/>
      <c r="D742" s="644"/>
      <c r="E742" s="305">
        <f>SUMIF(Adjustments!A:A,A742,Adjustments!C:C)</f>
        <v>0</v>
      </c>
      <c r="F742" s="278">
        <f t="shared" si="10"/>
        <v>0</v>
      </c>
      <c r="G742" s="263" t="e">
        <v>#N/A</v>
      </c>
      <c r="H742" s="266" t="e">
        <f>VLOOKUP('Trial Balance'!$A742,'Code Allocation'!$A:$D,4,0)</f>
        <v>#N/A</v>
      </c>
      <c r="I742" s="267" t="e">
        <f>VLOOKUP('Trial Balance'!$A742,'Code Allocation'!$A:$E,5,0)</f>
        <v>#N/A</v>
      </c>
      <c r="J742" s="268" t="e">
        <f>VLOOKUP('Trial Balance'!$A742,'Code Allocation'!$A:$F,6,0)</f>
        <v>#N/A</v>
      </c>
    </row>
    <row r="743" spans="1:10" ht="15" hidden="1" customHeight="1" x14ac:dyDescent="0.25">
      <c r="A743" s="644"/>
      <c r="B743" s="644"/>
      <c r="C743" s="644"/>
      <c r="D743" s="644"/>
      <c r="E743" s="305">
        <f>SUMIF(Adjustments!A:A,A743,Adjustments!C:C)</f>
        <v>0</v>
      </c>
      <c r="F743" s="278">
        <f t="shared" si="10"/>
        <v>0</v>
      </c>
      <c r="G743" s="263" t="e">
        <v>#N/A</v>
      </c>
      <c r="H743" s="266" t="e">
        <f>VLOOKUP('Trial Balance'!$A743,'Code Allocation'!$A:$D,4,0)</f>
        <v>#N/A</v>
      </c>
      <c r="I743" s="267" t="e">
        <f>VLOOKUP('Trial Balance'!$A743,'Code Allocation'!$A:$E,5,0)</f>
        <v>#N/A</v>
      </c>
      <c r="J743" s="268" t="e">
        <f>VLOOKUP('Trial Balance'!$A743,'Code Allocation'!$A:$F,6,0)</f>
        <v>#N/A</v>
      </c>
    </row>
    <row r="744" spans="1:10" ht="15" hidden="1" customHeight="1" x14ac:dyDescent="0.25">
      <c r="A744" s="644"/>
      <c r="B744" s="644"/>
      <c r="C744" s="644"/>
      <c r="D744" s="644"/>
      <c r="E744" s="305">
        <f>SUMIF(Adjustments!A:A,A744,Adjustments!C:C)</f>
        <v>0</v>
      </c>
      <c r="F744" s="278">
        <f t="shared" si="10"/>
        <v>0</v>
      </c>
      <c r="G744" s="263" t="e">
        <v>#N/A</v>
      </c>
      <c r="H744" s="266" t="e">
        <f>VLOOKUP('Trial Balance'!$A744,'Code Allocation'!$A:$D,4,0)</f>
        <v>#N/A</v>
      </c>
      <c r="I744" s="267" t="e">
        <f>VLOOKUP('Trial Balance'!$A744,'Code Allocation'!$A:$E,5,0)</f>
        <v>#N/A</v>
      </c>
      <c r="J744" s="268" t="e">
        <f>VLOOKUP('Trial Balance'!$A744,'Code Allocation'!$A:$F,6,0)</f>
        <v>#N/A</v>
      </c>
    </row>
    <row r="745" spans="1:10" ht="15" hidden="1" customHeight="1" x14ac:dyDescent="0.25">
      <c r="A745" s="644"/>
      <c r="B745" s="644"/>
      <c r="C745" s="644"/>
      <c r="D745" s="644"/>
      <c r="E745" s="305">
        <f>SUMIF(Adjustments!A:A,A745,Adjustments!C:C)</f>
        <v>0</v>
      </c>
      <c r="F745" s="278">
        <f t="shared" si="10"/>
        <v>0</v>
      </c>
      <c r="G745" s="263" t="e">
        <v>#N/A</v>
      </c>
      <c r="H745" s="266" t="e">
        <f>VLOOKUP('Trial Balance'!$A745,'Code Allocation'!$A:$D,4,0)</f>
        <v>#N/A</v>
      </c>
      <c r="I745" s="267" t="e">
        <f>VLOOKUP('Trial Balance'!$A745,'Code Allocation'!$A:$E,5,0)</f>
        <v>#N/A</v>
      </c>
      <c r="J745" s="268" t="e">
        <f>VLOOKUP('Trial Balance'!$A745,'Code Allocation'!$A:$F,6,0)</f>
        <v>#N/A</v>
      </c>
    </row>
    <row r="746" spans="1:10" ht="15" hidden="1" customHeight="1" x14ac:dyDescent="0.25">
      <c r="A746" s="644"/>
      <c r="B746" s="644"/>
      <c r="C746" s="644"/>
      <c r="D746" s="644"/>
      <c r="E746" s="305">
        <f>SUMIF(Adjustments!A:A,A746,Adjustments!C:C)</f>
        <v>0</v>
      </c>
      <c r="F746" s="278">
        <f t="shared" si="10"/>
        <v>0</v>
      </c>
      <c r="G746" s="263" t="e">
        <v>#N/A</v>
      </c>
      <c r="H746" s="266" t="e">
        <f>VLOOKUP('Trial Balance'!$A746,'Code Allocation'!$A:$D,4,0)</f>
        <v>#N/A</v>
      </c>
      <c r="I746" s="267" t="e">
        <f>VLOOKUP('Trial Balance'!$A746,'Code Allocation'!$A:$E,5,0)</f>
        <v>#N/A</v>
      </c>
      <c r="J746" s="268" t="e">
        <f>VLOOKUP('Trial Balance'!$A746,'Code Allocation'!$A:$F,6,0)</f>
        <v>#N/A</v>
      </c>
    </row>
    <row r="747" spans="1:10" ht="15" hidden="1" customHeight="1" x14ac:dyDescent="0.25">
      <c r="A747" s="644"/>
      <c r="B747" s="644"/>
      <c r="C747" s="644"/>
      <c r="D747" s="645"/>
      <c r="E747" s="305">
        <f>SUMIF(Adjustments!A:A,A747,Adjustments!C:C)</f>
        <v>0</v>
      </c>
      <c r="F747" s="278">
        <f t="shared" si="10"/>
        <v>0</v>
      </c>
      <c r="G747" s="263" t="e">
        <v>#N/A</v>
      </c>
      <c r="H747" s="266" t="e">
        <f>VLOOKUP('Trial Balance'!$A747,'Code Allocation'!$A:$D,4,0)</f>
        <v>#N/A</v>
      </c>
      <c r="I747" s="267" t="e">
        <f>VLOOKUP('Trial Balance'!$A747,'Code Allocation'!$A:$E,5,0)</f>
        <v>#N/A</v>
      </c>
      <c r="J747" s="268" t="e">
        <f>VLOOKUP('Trial Balance'!$A747,'Code Allocation'!$A:$F,6,0)</f>
        <v>#N/A</v>
      </c>
    </row>
    <row r="748" spans="1:10" ht="15" hidden="1" customHeight="1" x14ac:dyDescent="0.25">
      <c r="A748" s="644"/>
      <c r="B748" s="644"/>
      <c r="C748" s="645"/>
      <c r="D748" s="644"/>
      <c r="E748" s="305">
        <f>SUMIF(Adjustments!A:A,A748,Adjustments!C:C)</f>
        <v>0</v>
      </c>
      <c r="F748" s="278">
        <f t="shared" ref="F748:F811" si="11">C748-D748+E748</f>
        <v>0</v>
      </c>
      <c r="G748" s="263" t="e">
        <v>#N/A</v>
      </c>
      <c r="H748" s="266" t="e">
        <f>VLOOKUP('Trial Balance'!$A748,'Code Allocation'!$A:$D,4,0)</f>
        <v>#N/A</v>
      </c>
      <c r="I748" s="267" t="e">
        <f>VLOOKUP('Trial Balance'!$A748,'Code Allocation'!$A:$E,5,0)</f>
        <v>#N/A</v>
      </c>
      <c r="J748" s="268" t="e">
        <f>VLOOKUP('Trial Balance'!$A748,'Code Allocation'!$A:$F,6,0)</f>
        <v>#N/A</v>
      </c>
    </row>
    <row r="749" spans="1:10" ht="15" hidden="1" customHeight="1" x14ac:dyDescent="0.25">
      <c r="A749" s="644"/>
      <c r="B749" s="644"/>
      <c r="C749" s="645"/>
      <c r="D749" s="644"/>
      <c r="E749" s="305">
        <f>SUMIF(Adjustments!A:A,A749,Adjustments!C:C)</f>
        <v>0</v>
      </c>
      <c r="F749" s="278">
        <f t="shared" si="11"/>
        <v>0</v>
      </c>
      <c r="G749" s="263" t="e">
        <v>#N/A</v>
      </c>
      <c r="H749" s="266" t="e">
        <f>VLOOKUP('Trial Balance'!$A749,'Code Allocation'!$A:$D,4,0)</f>
        <v>#N/A</v>
      </c>
      <c r="I749" s="267" t="e">
        <f>VLOOKUP('Trial Balance'!$A749,'Code Allocation'!$A:$E,5,0)</f>
        <v>#N/A</v>
      </c>
      <c r="J749" s="268" t="e">
        <f>VLOOKUP('Trial Balance'!$A749,'Code Allocation'!$A:$F,6,0)</f>
        <v>#N/A</v>
      </c>
    </row>
    <row r="750" spans="1:10" ht="15" hidden="1" customHeight="1" x14ac:dyDescent="0.25">
      <c r="A750" s="644"/>
      <c r="B750" s="644"/>
      <c r="C750" s="645"/>
      <c r="D750" s="644"/>
      <c r="E750" s="305">
        <f>SUMIF(Adjustments!A:A,A750,Adjustments!C:C)</f>
        <v>0</v>
      </c>
      <c r="F750" s="278">
        <f t="shared" si="11"/>
        <v>0</v>
      </c>
      <c r="G750" s="263" t="e">
        <v>#N/A</v>
      </c>
      <c r="H750" s="266" t="e">
        <f>VLOOKUP('Trial Balance'!$A750,'Code Allocation'!$A:$D,4,0)</f>
        <v>#N/A</v>
      </c>
      <c r="I750" s="267" t="e">
        <f>VLOOKUP('Trial Balance'!$A750,'Code Allocation'!$A:$E,5,0)</f>
        <v>#N/A</v>
      </c>
      <c r="J750" s="268" t="e">
        <f>VLOOKUP('Trial Balance'!$A750,'Code Allocation'!$A:$F,6,0)</f>
        <v>#N/A</v>
      </c>
    </row>
    <row r="751" spans="1:10" ht="15" hidden="1" customHeight="1" x14ac:dyDescent="0.25">
      <c r="A751" s="644"/>
      <c r="B751" s="644"/>
      <c r="C751" s="645"/>
      <c r="D751" s="644"/>
      <c r="E751" s="305">
        <f>SUMIF(Adjustments!A:A,A751,Adjustments!C:C)</f>
        <v>0</v>
      </c>
      <c r="F751" s="278">
        <f t="shared" si="11"/>
        <v>0</v>
      </c>
      <c r="G751" s="263" t="e">
        <v>#N/A</v>
      </c>
      <c r="H751" s="266" t="e">
        <f>VLOOKUP('Trial Balance'!$A751,'Code Allocation'!$A:$D,4,0)</f>
        <v>#N/A</v>
      </c>
      <c r="I751" s="267" t="e">
        <f>VLOOKUP('Trial Balance'!$A751,'Code Allocation'!$A:$E,5,0)</f>
        <v>#N/A</v>
      </c>
      <c r="J751" s="268" t="e">
        <f>VLOOKUP('Trial Balance'!$A751,'Code Allocation'!$A:$F,6,0)</f>
        <v>#N/A</v>
      </c>
    </row>
    <row r="752" spans="1:10" ht="15" hidden="1" customHeight="1" x14ac:dyDescent="0.25">
      <c r="A752" s="644"/>
      <c r="B752" s="644"/>
      <c r="C752" s="644"/>
      <c r="D752" s="644"/>
      <c r="E752" s="305">
        <f>SUMIF(Adjustments!A:A,A752,Adjustments!C:C)</f>
        <v>0</v>
      </c>
      <c r="F752" s="278">
        <f t="shared" si="11"/>
        <v>0</v>
      </c>
      <c r="G752" s="263" t="e">
        <v>#N/A</v>
      </c>
      <c r="H752" s="266" t="e">
        <f>VLOOKUP('Trial Balance'!$A752,'Code Allocation'!$A:$D,4,0)</f>
        <v>#N/A</v>
      </c>
      <c r="I752" s="267" t="e">
        <f>VLOOKUP('Trial Balance'!$A752,'Code Allocation'!$A:$E,5,0)</f>
        <v>#N/A</v>
      </c>
      <c r="J752" s="268" t="e">
        <f>VLOOKUP('Trial Balance'!$A752,'Code Allocation'!$A:$F,6,0)</f>
        <v>#N/A</v>
      </c>
    </row>
    <row r="753" spans="1:10" ht="15" hidden="1" customHeight="1" x14ac:dyDescent="0.25">
      <c r="A753" s="644"/>
      <c r="B753" s="644"/>
      <c r="C753" s="644"/>
      <c r="D753" s="644"/>
      <c r="E753" s="305">
        <f>SUMIF(Adjustments!A:A,A753,Adjustments!C:C)</f>
        <v>0</v>
      </c>
      <c r="F753" s="278">
        <f t="shared" si="11"/>
        <v>0</v>
      </c>
      <c r="G753" s="263" t="e">
        <v>#N/A</v>
      </c>
      <c r="H753" s="266" t="e">
        <f>VLOOKUP('Trial Balance'!$A753,'Code Allocation'!$A:$D,4,0)</f>
        <v>#N/A</v>
      </c>
      <c r="I753" s="267" t="e">
        <f>VLOOKUP('Trial Balance'!$A753,'Code Allocation'!$A:$E,5,0)</f>
        <v>#N/A</v>
      </c>
      <c r="J753" s="268" t="e">
        <f>VLOOKUP('Trial Balance'!$A753,'Code Allocation'!$A:$F,6,0)</f>
        <v>#N/A</v>
      </c>
    </row>
    <row r="754" spans="1:10" ht="15" hidden="1" customHeight="1" x14ac:dyDescent="0.25">
      <c r="A754" s="644"/>
      <c r="B754" s="644"/>
      <c r="C754" s="644"/>
      <c r="D754" s="644"/>
      <c r="E754" s="305">
        <f>SUMIF(Adjustments!A:A,A754,Adjustments!C:C)</f>
        <v>0</v>
      </c>
      <c r="F754" s="278">
        <f t="shared" si="11"/>
        <v>0</v>
      </c>
      <c r="G754" s="263" t="e">
        <v>#N/A</v>
      </c>
      <c r="H754" s="266" t="e">
        <f>VLOOKUP('Trial Balance'!$A754,'Code Allocation'!$A:$D,4,0)</f>
        <v>#N/A</v>
      </c>
      <c r="I754" s="267" t="e">
        <f>VLOOKUP('Trial Balance'!$A754,'Code Allocation'!$A:$E,5,0)</f>
        <v>#N/A</v>
      </c>
      <c r="J754" s="268" t="e">
        <f>VLOOKUP('Trial Balance'!$A754,'Code Allocation'!$A:$F,6,0)</f>
        <v>#N/A</v>
      </c>
    </row>
    <row r="755" spans="1:10" ht="15" hidden="1" customHeight="1" x14ac:dyDescent="0.25">
      <c r="A755" s="644"/>
      <c r="B755" s="644"/>
      <c r="C755" s="644"/>
      <c r="D755" s="645"/>
      <c r="E755" s="305">
        <f>SUMIF(Adjustments!A:A,A755,Adjustments!C:C)</f>
        <v>0</v>
      </c>
      <c r="F755" s="278">
        <f t="shared" si="11"/>
        <v>0</v>
      </c>
      <c r="G755" s="263" t="e">
        <v>#N/A</v>
      </c>
      <c r="H755" s="266" t="e">
        <f>VLOOKUP('Trial Balance'!$A755,'Code Allocation'!$A:$D,4,0)</f>
        <v>#N/A</v>
      </c>
      <c r="I755" s="267" t="e">
        <f>VLOOKUP('Trial Balance'!$A755,'Code Allocation'!$A:$E,5,0)</f>
        <v>#N/A</v>
      </c>
      <c r="J755" s="268" t="e">
        <f>VLOOKUP('Trial Balance'!$A755,'Code Allocation'!$A:$F,6,0)</f>
        <v>#N/A</v>
      </c>
    </row>
    <row r="756" spans="1:10" ht="15" hidden="1" customHeight="1" x14ac:dyDescent="0.25">
      <c r="A756" s="644"/>
      <c r="B756" s="644"/>
      <c r="C756" s="644"/>
      <c r="D756" s="645"/>
      <c r="E756" s="305">
        <f>SUMIF(Adjustments!A:A,A756,Adjustments!C:C)</f>
        <v>0</v>
      </c>
      <c r="F756" s="278">
        <f t="shared" si="11"/>
        <v>0</v>
      </c>
      <c r="G756" s="263" t="e">
        <v>#N/A</v>
      </c>
      <c r="H756" s="266" t="e">
        <f>VLOOKUP('Trial Balance'!$A756,'Code Allocation'!$A:$D,4,0)</f>
        <v>#N/A</v>
      </c>
      <c r="I756" s="267" t="e">
        <f>VLOOKUP('Trial Balance'!$A756,'Code Allocation'!$A:$E,5,0)</f>
        <v>#N/A</v>
      </c>
      <c r="J756" s="268" t="e">
        <f>VLOOKUP('Trial Balance'!$A756,'Code Allocation'!$A:$F,6,0)</f>
        <v>#N/A</v>
      </c>
    </row>
    <row r="757" spans="1:10" ht="15" hidden="1" customHeight="1" x14ac:dyDescent="0.25">
      <c r="A757" s="644"/>
      <c r="B757" s="644"/>
      <c r="C757" s="644"/>
      <c r="D757" s="645"/>
      <c r="E757" s="305">
        <f>SUMIF(Adjustments!A:A,A757,Adjustments!C:C)</f>
        <v>0</v>
      </c>
      <c r="F757" s="278">
        <f t="shared" si="11"/>
        <v>0</v>
      </c>
      <c r="G757" s="263" t="e">
        <v>#N/A</v>
      </c>
      <c r="H757" s="266" t="e">
        <f>VLOOKUP('Trial Balance'!$A757,'Code Allocation'!$A:$D,4,0)</f>
        <v>#N/A</v>
      </c>
      <c r="I757" s="267" t="e">
        <f>VLOOKUP('Trial Balance'!$A757,'Code Allocation'!$A:$E,5,0)</f>
        <v>#N/A</v>
      </c>
      <c r="J757" s="268" t="e">
        <f>VLOOKUP('Trial Balance'!$A757,'Code Allocation'!$A:$F,6,0)</f>
        <v>#N/A</v>
      </c>
    </row>
    <row r="758" spans="1:10" ht="15" hidden="1" customHeight="1" x14ac:dyDescent="0.25">
      <c r="A758" s="644"/>
      <c r="B758" s="644"/>
      <c r="C758" s="644"/>
      <c r="D758" s="644"/>
      <c r="E758" s="305">
        <f>SUMIF(Adjustments!A:A,A758,Adjustments!C:C)</f>
        <v>0</v>
      </c>
      <c r="F758" s="278">
        <f t="shared" si="11"/>
        <v>0</v>
      </c>
      <c r="G758" s="263" t="e">
        <v>#N/A</v>
      </c>
      <c r="H758" s="266" t="e">
        <f>VLOOKUP('Trial Balance'!$A758,'Code Allocation'!$A:$D,4,0)</f>
        <v>#N/A</v>
      </c>
      <c r="I758" s="267" t="e">
        <f>VLOOKUP('Trial Balance'!$A758,'Code Allocation'!$A:$E,5,0)</f>
        <v>#N/A</v>
      </c>
      <c r="J758" s="268" t="e">
        <f>VLOOKUP('Trial Balance'!$A758,'Code Allocation'!$A:$F,6,0)</f>
        <v>#N/A</v>
      </c>
    </row>
    <row r="759" spans="1:10" ht="15" hidden="1" customHeight="1" x14ac:dyDescent="0.25">
      <c r="A759" s="644"/>
      <c r="B759" s="644"/>
      <c r="C759" s="644"/>
      <c r="D759" s="645"/>
      <c r="E759" s="305">
        <f>SUMIF(Adjustments!A:A,A759,Adjustments!C:C)</f>
        <v>0</v>
      </c>
      <c r="F759" s="278">
        <f t="shared" si="11"/>
        <v>0</v>
      </c>
      <c r="G759" s="263" t="e">
        <v>#N/A</v>
      </c>
      <c r="H759" s="266" t="e">
        <f>VLOOKUP('Trial Balance'!$A759,'Code Allocation'!$A:$D,4,0)</f>
        <v>#N/A</v>
      </c>
      <c r="I759" s="267" t="e">
        <f>VLOOKUP('Trial Balance'!$A759,'Code Allocation'!$A:$E,5,0)</f>
        <v>#N/A</v>
      </c>
      <c r="J759" s="268" t="e">
        <f>VLOOKUP('Trial Balance'!$A759,'Code Allocation'!$A:$F,6,0)</f>
        <v>#N/A</v>
      </c>
    </row>
    <row r="760" spans="1:10" ht="15" hidden="1" customHeight="1" x14ac:dyDescent="0.25">
      <c r="A760" s="644"/>
      <c r="B760" s="644"/>
      <c r="C760" s="644"/>
      <c r="D760" s="645"/>
      <c r="E760" s="305">
        <f>SUMIF(Adjustments!A:A,A760,Adjustments!C:C)</f>
        <v>0</v>
      </c>
      <c r="F760" s="278">
        <f t="shared" si="11"/>
        <v>0</v>
      </c>
      <c r="G760" s="263" t="e">
        <v>#N/A</v>
      </c>
      <c r="H760" s="266" t="e">
        <f>VLOOKUP('Trial Balance'!$A760,'Code Allocation'!$A:$D,4,0)</f>
        <v>#N/A</v>
      </c>
      <c r="I760" s="267" t="e">
        <f>VLOOKUP('Trial Balance'!$A760,'Code Allocation'!$A:$E,5,0)</f>
        <v>#N/A</v>
      </c>
      <c r="J760" s="268" t="e">
        <f>VLOOKUP('Trial Balance'!$A760,'Code Allocation'!$A:$F,6,0)</f>
        <v>#N/A</v>
      </c>
    </row>
    <row r="761" spans="1:10" ht="15" hidden="1" customHeight="1" x14ac:dyDescent="0.25">
      <c r="A761" s="644"/>
      <c r="B761" s="644"/>
      <c r="C761" s="644"/>
      <c r="D761" s="645"/>
      <c r="E761" s="305">
        <f>SUMIF(Adjustments!A:A,A761,Adjustments!C:C)</f>
        <v>0</v>
      </c>
      <c r="F761" s="278">
        <f t="shared" si="11"/>
        <v>0</v>
      </c>
      <c r="G761" s="263" t="e">
        <v>#N/A</v>
      </c>
      <c r="H761" s="266" t="e">
        <f>VLOOKUP('Trial Balance'!$A761,'Code Allocation'!$A:$D,4,0)</f>
        <v>#N/A</v>
      </c>
      <c r="I761" s="267" t="e">
        <f>VLOOKUP('Trial Balance'!$A761,'Code Allocation'!$A:$E,5,0)</f>
        <v>#N/A</v>
      </c>
      <c r="J761" s="268" t="e">
        <f>VLOOKUP('Trial Balance'!$A761,'Code Allocation'!$A:$F,6,0)</f>
        <v>#N/A</v>
      </c>
    </row>
    <row r="762" spans="1:10" ht="15" hidden="1" customHeight="1" x14ac:dyDescent="0.25">
      <c r="A762" s="644"/>
      <c r="B762" s="644"/>
      <c r="C762" s="644"/>
      <c r="D762" s="645"/>
      <c r="E762" s="305">
        <f>SUMIF(Adjustments!A:A,A762,Adjustments!C:C)</f>
        <v>0</v>
      </c>
      <c r="F762" s="278">
        <f t="shared" si="11"/>
        <v>0</v>
      </c>
      <c r="G762" s="263" t="e">
        <v>#N/A</v>
      </c>
      <c r="H762" s="266" t="e">
        <f>VLOOKUP('Trial Balance'!$A762,'Code Allocation'!$A:$D,4,0)</f>
        <v>#N/A</v>
      </c>
      <c r="I762" s="267" t="e">
        <f>VLOOKUP('Trial Balance'!$A762,'Code Allocation'!$A:$E,5,0)</f>
        <v>#N/A</v>
      </c>
      <c r="J762" s="268" t="e">
        <f>VLOOKUP('Trial Balance'!$A762,'Code Allocation'!$A:$F,6,0)</f>
        <v>#N/A</v>
      </c>
    </row>
    <row r="763" spans="1:10" ht="15" hidden="1" customHeight="1" x14ac:dyDescent="0.25">
      <c r="A763" s="644"/>
      <c r="B763" s="644"/>
      <c r="C763" s="644"/>
      <c r="D763" s="645"/>
      <c r="E763" s="305">
        <f>SUMIF(Adjustments!A:A,A763,Adjustments!C:C)</f>
        <v>0</v>
      </c>
      <c r="F763" s="278">
        <f t="shared" si="11"/>
        <v>0</v>
      </c>
      <c r="G763" s="263" t="e">
        <v>#N/A</v>
      </c>
      <c r="H763" s="266" t="e">
        <f>VLOOKUP('Trial Balance'!$A763,'Code Allocation'!$A:$D,4,0)</f>
        <v>#N/A</v>
      </c>
      <c r="I763" s="267" t="e">
        <f>VLOOKUP('Trial Balance'!$A763,'Code Allocation'!$A:$E,5,0)</f>
        <v>#N/A</v>
      </c>
      <c r="J763" s="268" t="e">
        <f>VLOOKUP('Trial Balance'!$A763,'Code Allocation'!$A:$F,6,0)</f>
        <v>#N/A</v>
      </c>
    </row>
    <row r="764" spans="1:10" ht="15" hidden="1" customHeight="1" x14ac:dyDescent="0.25">
      <c r="A764" s="644"/>
      <c r="B764" s="644"/>
      <c r="C764" s="644"/>
      <c r="D764" s="645"/>
      <c r="E764" s="305">
        <f>SUMIF(Adjustments!A:A,A764,Adjustments!C:C)</f>
        <v>0</v>
      </c>
      <c r="F764" s="278">
        <f t="shared" si="11"/>
        <v>0</v>
      </c>
      <c r="G764" s="263" t="e">
        <v>#N/A</v>
      </c>
      <c r="H764" s="266" t="e">
        <f>VLOOKUP('Trial Balance'!$A764,'Code Allocation'!$A:$D,4,0)</f>
        <v>#N/A</v>
      </c>
      <c r="I764" s="267" t="e">
        <f>VLOOKUP('Trial Balance'!$A764,'Code Allocation'!$A:$E,5,0)</f>
        <v>#N/A</v>
      </c>
      <c r="J764" s="268" t="e">
        <f>VLOOKUP('Trial Balance'!$A764,'Code Allocation'!$A:$F,6,0)</f>
        <v>#N/A</v>
      </c>
    </row>
    <row r="765" spans="1:10" ht="15" hidden="1" customHeight="1" x14ac:dyDescent="0.25">
      <c r="A765" s="644"/>
      <c r="B765" s="644"/>
      <c r="C765" s="644"/>
      <c r="D765" s="645"/>
      <c r="E765" s="305">
        <f>SUMIF(Adjustments!A:A,A765,Adjustments!C:C)</f>
        <v>0</v>
      </c>
      <c r="F765" s="278">
        <f t="shared" si="11"/>
        <v>0</v>
      </c>
      <c r="G765" s="263" t="e">
        <v>#N/A</v>
      </c>
      <c r="H765" s="266" t="e">
        <f>VLOOKUP('Trial Balance'!$A765,'Code Allocation'!$A:$D,4,0)</f>
        <v>#N/A</v>
      </c>
      <c r="I765" s="267" t="e">
        <f>VLOOKUP('Trial Balance'!$A765,'Code Allocation'!$A:$E,5,0)</f>
        <v>#N/A</v>
      </c>
      <c r="J765" s="268" t="e">
        <f>VLOOKUP('Trial Balance'!$A765,'Code Allocation'!$A:$F,6,0)</f>
        <v>#N/A</v>
      </c>
    </row>
    <row r="766" spans="1:10" ht="15" hidden="1" customHeight="1" x14ac:dyDescent="0.25">
      <c r="A766" s="644"/>
      <c r="B766" s="644"/>
      <c r="C766" s="644"/>
      <c r="D766" s="645"/>
      <c r="E766" s="305">
        <f>SUMIF(Adjustments!A:A,A766,Adjustments!C:C)</f>
        <v>0</v>
      </c>
      <c r="F766" s="278">
        <f t="shared" si="11"/>
        <v>0</v>
      </c>
      <c r="G766" s="263" t="e">
        <v>#N/A</v>
      </c>
      <c r="H766" s="266" t="e">
        <f>VLOOKUP('Trial Balance'!$A766,'Code Allocation'!$A:$D,4,0)</f>
        <v>#N/A</v>
      </c>
      <c r="I766" s="267" t="e">
        <f>VLOOKUP('Trial Balance'!$A766,'Code Allocation'!$A:$E,5,0)</f>
        <v>#N/A</v>
      </c>
      <c r="J766" s="268" t="e">
        <f>VLOOKUP('Trial Balance'!$A766,'Code Allocation'!$A:$F,6,0)</f>
        <v>#N/A</v>
      </c>
    </row>
    <row r="767" spans="1:10" ht="15" hidden="1" customHeight="1" x14ac:dyDescent="0.25">
      <c r="A767" s="644"/>
      <c r="B767" s="644"/>
      <c r="C767" s="644"/>
      <c r="D767" s="645"/>
      <c r="E767" s="305">
        <f>SUMIF(Adjustments!A:A,A767,Adjustments!C:C)</f>
        <v>0</v>
      </c>
      <c r="F767" s="278">
        <f t="shared" si="11"/>
        <v>0</v>
      </c>
      <c r="G767" s="263" t="e">
        <v>#N/A</v>
      </c>
      <c r="H767" s="266" t="e">
        <f>VLOOKUP('Trial Balance'!$A767,'Code Allocation'!$A:$D,4,0)</f>
        <v>#N/A</v>
      </c>
      <c r="I767" s="267" t="e">
        <f>VLOOKUP('Trial Balance'!$A767,'Code Allocation'!$A:$E,5,0)</f>
        <v>#N/A</v>
      </c>
      <c r="J767" s="268" t="e">
        <f>VLOOKUP('Trial Balance'!$A767,'Code Allocation'!$A:$F,6,0)</f>
        <v>#N/A</v>
      </c>
    </row>
    <row r="768" spans="1:10" ht="15" hidden="1" customHeight="1" x14ac:dyDescent="0.25">
      <c r="A768" s="644"/>
      <c r="B768" s="644"/>
      <c r="C768" s="644"/>
      <c r="D768" s="645"/>
      <c r="E768" s="305">
        <f>SUMIF(Adjustments!A:A,A768,Adjustments!C:C)</f>
        <v>0</v>
      </c>
      <c r="F768" s="278">
        <f t="shared" si="11"/>
        <v>0</v>
      </c>
      <c r="G768" s="263" t="e">
        <v>#N/A</v>
      </c>
      <c r="H768" s="266" t="e">
        <f>VLOOKUP('Trial Balance'!$A768,'Code Allocation'!$A:$D,4,0)</f>
        <v>#N/A</v>
      </c>
      <c r="I768" s="267" t="e">
        <f>VLOOKUP('Trial Balance'!$A768,'Code Allocation'!$A:$E,5,0)</f>
        <v>#N/A</v>
      </c>
      <c r="J768" s="268" t="e">
        <f>VLOOKUP('Trial Balance'!$A768,'Code Allocation'!$A:$F,6,0)</f>
        <v>#N/A</v>
      </c>
    </row>
    <row r="769" spans="1:10" ht="15" hidden="1" customHeight="1" x14ac:dyDescent="0.25">
      <c r="A769" s="644"/>
      <c r="B769" s="644"/>
      <c r="C769" s="644"/>
      <c r="D769" s="645"/>
      <c r="E769" s="305">
        <f>SUMIF(Adjustments!A:A,A769,Adjustments!C:C)</f>
        <v>0</v>
      </c>
      <c r="F769" s="278">
        <f t="shared" si="11"/>
        <v>0</v>
      </c>
      <c r="G769" s="263" t="e">
        <v>#N/A</v>
      </c>
      <c r="H769" s="266" t="e">
        <f>VLOOKUP('Trial Balance'!$A769,'Code Allocation'!$A:$D,4,0)</f>
        <v>#N/A</v>
      </c>
      <c r="I769" s="267" t="e">
        <f>VLOOKUP('Trial Balance'!$A769,'Code Allocation'!$A:$E,5,0)</f>
        <v>#N/A</v>
      </c>
      <c r="J769" s="268" t="e">
        <f>VLOOKUP('Trial Balance'!$A769,'Code Allocation'!$A:$F,6,0)</f>
        <v>#N/A</v>
      </c>
    </row>
    <row r="770" spans="1:10" ht="15" hidden="1" customHeight="1" x14ac:dyDescent="0.25">
      <c r="A770" s="644"/>
      <c r="B770" s="644"/>
      <c r="C770" s="644"/>
      <c r="D770" s="645"/>
      <c r="E770" s="305">
        <f>SUMIF(Adjustments!A:A,A770,Adjustments!C:C)</f>
        <v>0</v>
      </c>
      <c r="F770" s="278">
        <f t="shared" si="11"/>
        <v>0</v>
      </c>
      <c r="G770" s="263" t="e">
        <v>#N/A</v>
      </c>
      <c r="H770" s="266" t="e">
        <f>VLOOKUP('Trial Balance'!$A770,'Code Allocation'!$A:$D,4,0)</f>
        <v>#N/A</v>
      </c>
      <c r="I770" s="267" t="e">
        <f>VLOOKUP('Trial Balance'!$A770,'Code Allocation'!$A:$E,5,0)</f>
        <v>#N/A</v>
      </c>
      <c r="J770" s="268" t="e">
        <f>VLOOKUP('Trial Balance'!$A770,'Code Allocation'!$A:$F,6,0)</f>
        <v>#N/A</v>
      </c>
    </row>
    <row r="771" spans="1:10" ht="15" hidden="1" customHeight="1" x14ac:dyDescent="0.25">
      <c r="A771" s="644"/>
      <c r="B771" s="644"/>
      <c r="C771" s="644"/>
      <c r="D771" s="645"/>
      <c r="E771" s="305">
        <f>SUMIF(Adjustments!A:A,A771,Adjustments!C:C)</f>
        <v>0</v>
      </c>
      <c r="F771" s="278">
        <f t="shared" si="11"/>
        <v>0</v>
      </c>
      <c r="G771" s="263" t="e">
        <v>#N/A</v>
      </c>
      <c r="H771" s="266" t="e">
        <f>VLOOKUP('Trial Balance'!$A771,'Code Allocation'!$A:$D,4,0)</f>
        <v>#N/A</v>
      </c>
      <c r="I771" s="267" t="e">
        <f>VLOOKUP('Trial Balance'!$A771,'Code Allocation'!$A:$E,5,0)</f>
        <v>#N/A</v>
      </c>
      <c r="J771" s="268" t="e">
        <f>VLOOKUP('Trial Balance'!$A771,'Code Allocation'!$A:$F,6,0)</f>
        <v>#N/A</v>
      </c>
    </row>
    <row r="772" spans="1:10" ht="15" hidden="1" customHeight="1" x14ac:dyDescent="0.25">
      <c r="A772" s="644"/>
      <c r="B772" s="644"/>
      <c r="C772" s="644"/>
      <c r="D772" s="645"/>
      <c r="E772" s="305">
        <f>SUMIF(Adjustments!A:A,A772,Adjustments!C:C)</f>
        <v>0</v>
      </c>
      <c r="F772" s="278">
        <f t="shared" si="11"/>
        <v>0</v>
      </c>
      <c r="G772" s="263" t="e">
        <v>#N/A</v>
      </c>
      <c r="H772" s="266" t="e">
        <f>VLOOKUP('Trial Balance'!$A772,'Code Allocation'!$A:$D,4,0)</f>
        <v>#N/A</v>
      </c>
      <c r="I772" s="267" t="e">
        <f>VLOOKUP('Trial Balance'!$A772,'Code Allocation'!$A:$E,5,0)</f>
        <v>#N/A</v>
      </c>
      <c r="J772" s="268" t="e">
        <f>VLOOKUP('Trial Balance'!$A772,'Code Allocation'!$A:$F,6,0)</f>
        <v>#N/A</v>
      </c>
    </row>
    <row r="773" spans="1:10" ht="15" hidden="1" customHeight="1" x14ac:dyDescent="0.25">
      <c r="A773" s="644"/>
      <c r="B773" s="644"/>
      <c r="C773" s="644"/>
      <c r="D773" s="645"/>
      <c r="E773" s="305">
        <f>SUMIF(Adjustments!A:A,A773,Adjustments!C:C)</f>
        <v>0</v>
      </c>
      <c r="F773" s="278">
        <f t="shared" si="11"/>
        <v>0</v>
      </c>
      <c r="G773" s="263" t="e">
        <v>#N/A</v>
      </c>
      <c r="H773" s="266" t="e">
        <f>VLOOKUP('Trial Balance'!$A773,'Code Allocation'!$A:$D,4,0)</f>
        <v>#N/A</v>
      </c>
      <c r="I773" s="267" t="e">
        <f>VLOOKUP('Trial Balance'!$A773,'Code Allocation'!$A:$E,5,0)</f>
        <v>#N/A</v>
      </c>
      <c r="J773" s="268" t="e">
        <f>VLOOKUP('Trial Balance'!$A773,'Code Allocation'!$A:$F,6,0)</f>
        <v>#N/A</v>
      </c>
    </row>
    <row r="774" spans="1:10" ht="15" hidden="1" customHeight="1" x14ac:dyDescent="0.25">
      <c r="A774" s="644"/>
      <c r="B774" s="644"/>
      <c r="C774" s="644"/>
      <c r="D774" s="644"/>
      <c r="E774" s="305">
        <f>SUMIF(Adjustments!A:A,A774,Adjustments!C:C)</f>
        <v>0</v>
      </c>
      <c r="F774" s="278">
        <f t="shared" si="11"/>
        <v>0</v>
      </c>
      <c r="G774" s="263" t="e">
        <v>#N/A</v>
      </c>
      <c r="H774" s="266" t="e">
        <f>VLOOKUP('Trial Balance'!$A774,'Code Allocation'!$A:$D,4,0)</f>
        <v>#N/A</v>
      </c>
      <c r="I774" s="267" t="e">
        <f>VLOOKUP('Trial Balance'!$A774,'Code Allocation'!$A:$E,5,0)</f>
        <v>#N/A</v>
      </c>
      <c r="J774" s="268" t="e">
        <f>VLOOKUP('Trial Balance'!$A774,'Code Allocation'!$A:$F,6,0)</f>
        <v>#N/A</v>
      </c>
    </row>
    <row r="775" spans="1:10" ht="15" hidden="1" customHeight="1" x14ac:dyDescent="0.25">
      <c r="A775" s="644"/>
      <c r="B775" s="644"/>
      <c r="C775" s="644"/>
      <c r="D775" s="645"/>
      <c r="E775" s="305">
        <f>SUMIF(Adjustments!A:A,A775,Adjustments!C:C)</f>
        <v>0</v>
      </c>
      <c r="F775" s="278">
        <f t="shared" si="11"/>
        <v>0</v>
      </c>
      <c r="G775" s="263" t="e">
        <v>#N/A</v>
      </c>
      <c r="H775" s="266" t="e">
        <f>VLOOKUP('Trial Balance'!$A775,'Code Allocation'!$A:$D,4,0)</f>
        <v>#N/A</v>
      </c>
      <c r="I775" s="267" t="e">
        <f>VLOOKUP('Trial Balance'!$A775,'Code Allocation'!$A:$E,5,0)</f>
        <v>#N/A</v>
      </c>
      <c r="J775" s="268" t="e">
        <f>VLOOKUP('Trial Balance'!$A775,'Code Allocation'!$A:$F,6,0)</f>
        <v>#N/A</v>
      </c>
    </row>
    <row r="776" spans="1:10" ht="15" hidden="1" customHeight="1" x14ac:dyDescent="0.25">
      <c r="A776" s="644"/>
      <c r="B776" s="644"/>
      <c r="C776" s="644"/>
      <c r="D776" s="645"/>
      <c r="E776" s="305">
        <f>SUMIF(Adjustments!A:A,A776,Adjustments!C:C)</f>
        <v>0</v>
      </c>
      <c r="F776" s="278">
        <f t="shared" si="11"/>
        <v>0</v>
      </c>
      <c r="G776" s="263" t="e">
        <v>#N/A</v>
      </c>
      <c r="H776" s="266" t="e">
        <f>VLOOKUP('Trial Balance'!$A776,'Code Allocation'!$A:$D,4,0)</f>
        <v>#N/A</v>
      </c>
      <c r="I776" s="267" t="e">
        <f>VLOOKUP('Trial Balance'!$A776,'Code Allocation'!$A:$E,5,0)</f>
        <v>#N/A</v>
      </c>
      <c r="J776" s="268" t="e">
        <f>VLOOKUP('Trial Balance'!$A776,'Code Allocation'!$A:$F,6,0)</f>
        <v>#N/A</v>
      </c>
    </row>
    <row r="777" spans="1:10" ht="15" hidden="1" customHeight="1" x14ac:dyDescent="0.25">
      <c r="A777" s="644"/>
      <c r="B777" s="644"/>
      <c r="C777" s="644"/>
      <c r="D777" s="645"/>
      <c r="E777" s="305">
        <f>SUMIF(Adjustments!A:A,A777,Adjustments!C:C)</f>
        <v>0</v>
      </c>
      <c r="F777" s="278">
        <f t="shared" si="11"/>
        <v>0</v>
      </c>
      <c r="G777" s="263" t="e">
        <v>#N/A</v>
      </c>
      <c r="H777" s="266" t="e">
        <f>VLOOKUP('Trial Balance'!$A777,'Code Allocation'!$A:$D,4,0)</f>
        <v>#N/A</v>
      </c>
      <c r="I777" s="267" t="e">
        <f>VLOOKUP('Trial Balance'!$A777,'Code Allocation'!$A:$E,5,0)</f>
        <v>#N/A</v>
      </c>
      <c r="J777" s="268" t="e">
        <f>VLOOKUP('Trial Balance'!$A777,'Code Allocation'!$A:$F,6,0)</f>
        <v>#N/A</v>
      </c>
    </row>
    <row r="778" spans="1:10" ht="15" hidden="1" customHeight="1" x14ac:dyDescent="0.25">
      <c r="A778" s="644"/>
      <c r="B778" s="644"/>
      <c r="C778" s="644"/>
      <c r="D778" s="644"/>
      <c r="E778" s="305">
        <f>SUMIF(Adjustments!A:A,A778,Adjustments!C:C)</f>
        <v>0</v>
      </c>
      <c r="F778" s="278">
        <f t="shared" si="11"/>
        <v>0</v>
      </c>
      <c r="G778" s="263" t="e">
        <v>#N/A</v>
      </c>
      <c r="H778" s="266" t="e">
        <f>VLOOKUP('Trial Balance'!$A778,'Code Allocation'!$A:$D,4,0)</f>
        <v>#N/A</v>
      </c>
      <c r="I778" s="267" t="e">
        <f>VLOOKUP('Trial Balance'!$A778,'Code Allocation'!$A:$E,5,0)</f>
        <v>#N/A</v>
      </c>
      <c r="J778" s="268" t="e">
        <f>VLOOKUP('Trial Balance'!$A778,'Code Allocation'!$A:$F,6,0)</f>
        <v>#N/A</v>
      </c>
    </row>
    <row r="779" spans="1:10" ht="15" hidden="1" customHeight="1" x14ac:dyDescent="0.25">
      <c r="A779" s="644"/>
      <c r="B779" s="644"/>
      <c r="C779" s="644"/>
      <c r="D779" s="645"/>
      <c r="E779" s="305">
        <f>SUMIF(Adjustments!A:A,A779,Adjustments!C:C)</f>
        <v>0</v>
      </c>
      <c r="F779" s="278">
        <f t="shared" si="11"/>
        <v>0</v>
      </c>
      <c r="G779" s="263" t="e">
        <v>#N/A</v>
      </c>
      <c r="H779" s="266" t="e">
        <f>VLOOKUP('Trial Balance'!$A779,'Code Allocation'!$A:$D,4,0)</f>
        <v>#N/A</v>
      </c>
      <c r="I779" s="267" t="e">
        <f>VLOOKUP('Trial Balance'!$A779,'Code Allocation'!$A:$E,5,0)</f>
        <v>#N/A</v>
      </c>
      <c r="J779" s="268" t="e">
        <f>VLOOKUP('Trial Balance'!$A779,'Code Allocation'!$A:$F,6,0)</f>
        <v>#N/A</v>
      </c>
    </row>
    <row r="780" spans="1:10" ht="15" hidden="1" customHeight="1" x14ac:dyDescent="0.25">
      <c r="A780" s="644"/>
      <c r="B780" s="644"/>
      <c r="C780" s="644"/>
      <c r="D780" s="645"/>
      <c r="E780" s="305">
        <f>SUMIF(Adjustments!A:A,A780,Adjustments!C:C)</f>
        <v>0</v>
      </c>
      <c r="F780" s="278">
        <f t="shared" si="11"/>
        <v>0</v>
      </c>
      <c r="G780" s="263" t="e">
        <v>#N/A</v>
      </c>
      <c r="H780" s="266" t="e">
        <f>VLOOKUP('Trial Balance'!$A780,'Code Allocation'!$A:$D,4,0)</f>
        <v>#N/A</v>
      </c>
      <c r="I780" s="267" t="e">
        <f>VLOOKUP('Trial Balance'!$A780,'Code Allocation'!$A:$E,5,0)</f>
        <v>#N/A</v>
      </c>
      <c r="J780" s="268" t="e">
        <f>VLOOKUP('Trial Balance'!$A780,'Code Allocation'!$A:$F,6,0)</f>
        <v>#N/A</v>
      </c>
    </row>
    <row r="781" spans="1:10" ht="15" hidden="1" customHeight="1" x14ac:dyDescent="0.25">
      <c r="A781" s="644"/>
      <c r="B781" s="644"/>
      <c r="C781" s="644"/>
      <c r="D781" s="645"/>
      <c r="E781" s="305">
        <f>SUMIF(Adjustments!A:A,A781,Adjustments!C:C)</f>
        <v>0</v>
      </c>
      <c r="F781" s="278">
        <f t="shared" si="11"/>
        <v>0</v>
      </c>
      <c r="G781" s="263" t="e">
        <v>#N/A</v>
      </c>
      <c r="H781" s="266" t="e">
        <f>VLOOKUP('Trial Balance'!$A781,'Code Allocation'!$A:$D,4,0)</f>
        <v>#N/A</v>
      </c>
      <c r="I781" s="267" t="e">
        <f>VLOOKUP('Trial Balance'!$A781,'Code Allocation'!$A:$E,5,0)</f>
        <v>#N/A</v>
      </c>
      <c r="J781" s="268" t="e">
        <f>VLOOKUP('Trial Balance'!$A781,'Code Allocation'!$A:$F,6,0)</f>
        <v>#N/A</v>
      </c>
    </row>
    <row r="782" spans="1:10" ht="15" hidden="1" customHeight="1" x14ac:dyDescent="0.25">
      <c r="A782" s="644"/>
      <c r="B782" s="644"/>
      <c r="C782" s="644"/>
      <c r="D782" s="645"/>
      <c r="E782" s="305">
        <f>SUMIF(Adjustments!A:A,A782,Adjustments!C:C)</f>
        <v>0</v>
      </c>
      <c r="F782" s="278">
        <f t="shared" si="11"/>
        <v>0</v>
      </c>
      <c r="G782" s="263" t="e">
        <v>#N/A</v>
      </c>
      <c r="H782" s="266" t="e">
        <f>VLOOKUP('Trial Balance'!$A782,'Code Allocation'!$A:$D,4,0)</f>
        <v>#N/A</v>
      </c>
      <c r="I782" s="267" t="e">
        <f>VLOOKUP('Trial Balance'!$A782,'Code Allocation'!$A:$E,5,0)</f>
        <v>#N/A</v>
      </c>
      <c r="J782" s="268" t="e">
        <f>VLOOKUP('Trial Balance'!$A782,'Code Allocation'!$A:$F,6,0)</f>
        <v>#N/A</v>
      </c>
    </row>
    <row r="783" spans="1:10" ht="15" hidden="1" customHeight="1" x14ac:dyDescent="0.25">
      <c r="A783" s="644"/>
      <c r="B783" s="644"/>
      <c r="C783" s="645"/>
      <c r="D783" s="644"/>
      <c r="E783" s="305">
        <f>SUMIF(Adjustments!A:A,A783,Adjustments!C:C)</f>
        <v>0</v>
      </c>
      <c r="F783" s="278">
        <f t="shared" si="11"/>
        <v>0</v>
      </c>
      <c r="G783" s="263" t="e">
        <v>#N/A</v>
      </c>
      <c r="H783" s="266" t="e">
        <f>VLOOKUP('Trial Balance'!$A783,'Code Allocation'!$A:$D,4,0)</f>
        <v>#N/A</v>
      </c>
      <c r="I783" s="267" t="e">
        <f>VLOOKUP('Trial Balance'!$A783,'Code Allocation'!$A:$E,5,0)</f>
        <v>#N/A</v>
      </c>
      <c r="J783" s="268" t="e">
        <f>VLOOKUP('Trial Balance'!$A783,'Code Allocation'!$A:$F,6,0)</f>
        <v>#N/A</v>
      </c>
    </row>
    <row r="784" spans="1:10" ht="15" hidden="1" customHeight="1" x14ac:dyDescent="0.25">
      <c r="A784" s="644"/>
      <c r="B784" s="644"/>
      <c r="C784" s="644"/>
      <c r="D784" s="645"/>
      <c r="E784" s="305">
        <f>SUMIF(Adjustments!A:A,A784,Adjustments!C:C)</f>
        <v>0</v>
      </c>
      <c r="F784" s="278">
        <f t="shared" si="11"/>
        <v>0</v>
      </c>
      <c r="G784" s="263" t="e">
        <v>#N/A</v>
      </c>
      <c r="H784" s="266" t="e">
        <f>VLOOKUP('Trial Balance'!$A784,'Code Allocation'!$A:$D,4,0)</f>
        <v>#N/A</v>
      </c>
      <c r="I784" s="267" t="e">
        <f>VLOOKUP('Trial Balance'!$A784,'Code Allocation'!$A:$E,5,0)</f>
        <v>#N/A</v>
      </c>
      <c r="J784" s="268" t="e">
        <f>VLOOKUP('Trial Balance'!$A784,'Code Allocation'!$A:$F,6,0)</f>
        <v>#N/A</v>
      </c>
    </row>
    <row r="785" spans="1:10" ht="15" hidden="1" customHeight="1" x14ac:dyDescent="0.25">
      <c r="A785" s="644"/>
      <c r="B785" s="644"/>
      <c r="C785" s="645"/>
      <c r="D785" s="644"/>
      <c r="E785" s="305">
        <f>SUMIF(Adjustments!A:A,A785,Adjustments!C:C)</f>
        <v>0</v>
      </c>
      <c r="F785" s="278">
        <f t="shared" si="11"/>
        <v>0</v>
      </c>
      <c r="G785" s="263" t="e">
        <v>#N/A</v>
      </c>
      <c r="H785" s="266" t="e">
        <f>VLOOKUP('Trial Balance'!$A785,'Code Allocation'!$A:$D,4,0)</f>
        <v>#N/A</v>
      </c>
      <c r="I785" s="267" t="e">
        <f>VLOOKUP('Trial Balance'!$A785,'Code Allocation'!$A:$E,5,0)</f>
        <v>#N/A</v>
      </c>
      <c r="J785" s="268" t="e">
        <f>VLOOKUP('Trial Balance'!$A785,'Code Allocation'!$A:$F,6,0)</f>
        <v>#N/A</v>
      </c>
    </row>
    <row r="786" spans="1:10" ht="15" hidden="1" customHeight="1" x14ac:dyDescent="0.3">
      <c r="A786" s="644"/>
      <c r="B786" s="644"/>
      <c r="C786" s="306"/>
      <c r="D786" s="306"/>
      <c r="E786" s="305">
        <f>SUMIF(Adjustments!A:A,A786,Adjustments!C:C)</f>
        <v>0</v>
      </c>
      <c r="F786" s="278">
        <f t="shared" si="11"/>
        <v>0</v>
      </c>
      <c r="G786" s="263" t="e">
        <v>#N/A</v>
      </c>
      <c r="H786" s="266" t="e">
        <f>VLOOKUP('Trial Balance'!$A786,'Code Allocation'!$A:$D,4,0)</f>
        <v>#N/A</v>
      </c>
      <c r="I786" s="267" t="e">
        <f>VLOOKUP('Trial Balance'!$A786,'Code Allocation'!$A:$E,5,0)</f>
        <v>#N/A</v>
      </c>
      <c r="J786" s="268" t="e">
        <f>VLOOKUP('Trial Balance'!$A786,'Code Allocation'!$A:$F,6,0)</f>
        <v>#N/A</v>
      </c>
    </row>
    <row r="787" spans="1:10" ht="15" hidden="1" customHeight="1" x14ac:dyDescent="0.25">
      <c r="A787" s="648"/>
      <c r="B787" s="648"/>
      <c r="C787" s="648"/>
      <c r="D787" s="648"/>
      <c r="E787" s="305">
        <f>SUMIF(Adjustments!A:A,A787,Adjustments!C:C)</f>
        <v>0</v>
      </c>
      <c r="F787" s="278">
        <f t="shared" si="11"/>
        <v>0</v>
      </c>
      <c r="G787" s="263" t="e">
        <v>#N/A</v>
      </c>
      <c r="H787" s="266" t="e">
        <f>VLOOKUP('Trial Balance'!$A787,'Code Allocation'!$A:$D,4,0)</f>
        <v>#N/A</v>
      </c>
      <c r="I787" s="267" t="e">
        <f>VLOOKUP('Trial Balance'!$A787,'Code Allocation'!$A:$E,5,0)</f>
        <v>#N/A</v>
      </c>
      <c r="J787" s="268" t="e">
        <f>VLOOKUP('Trial Balance'!$A787,'Code Allocation'!$A:$F,6,0)</f>
        <v>#N/A</v>
      </c>
    </row>
    <row r="788" spans="1:10" ht="15" hidden="1" customHeight="1" x14ac:dyDescent="0.25">
      <c r="A788" s="648"/>
      <c r="B788" s="648"/>
      <c r="C788" s="648"/>
      <c r="D788" s="648"/>
      <c r="E788" s="305">
        <f>SUMIF(Adjustments!A:A,A788,Adjustments!C:C)</f>
        <v>0</v>
      </c>
      <c r="F788" s="278">
        <f t="shared" si="11"/>
        <v>0</v>
      </c>
      <c r="G788" s="263" t="e">
        <v>#N/A</v>
      </c>
      <c r="H788" s="266" t="e">
        <f>VLOOKUP('Trial Balance'!$A788,'Code Allocation'!$A:$D,4,0)</f>
        <v>#N/A</v>
      </c>
      <c r="I788" s="267" t="e">
        <f>VLOOKUP('Trial Balance'!$A788,'Code Allocation'!$A:$E,5,0)</f>
        <v>#N/A</v>
      </c>
      <c r="J788" s="268" t="e">
        <f>VLOOKUP('Trial Balance'!$A788,'Code Allocation'!$A:$F,6,0)</f>
        <v>#N/A</v>
      </c>
    </row>
    <row r="789" spans="1:10" ht="15" hidden="1" customHeight="1" x14ac:dyDescent="0.25">
      <c r="A789" s="648"/>
      <c r="B789" s="648"/>
      <c r="C789" s="648"/>
      <c r="D789" s="649"/>
      <c r="E789" s="305">
        <f>SUMIF(Adjustments!A:A,A789,Adjustments!C:C)</f>
        <v>0</v>
      </c>
      <c r="F789" s="278">
        <f t="shared" si="11"/>
        <v>0</v>
      </c>
      <c r="G789" s="263" t="e">
        <v>#N/A</v>
      </c>
      <c r="H789" s="266" t="e">
        <f>VLOOKUP('Trial Balance'!$A789,'Code Allocation'!$A:$D,4,0)</f>
        <v>#N/A</v>
      </c>
      <c r="I789" s="267" t="e">
        <f>VLOOKUP('Trial Balance'!$A789,'Code Allocation'!$A:$E,5,0)</f>
        <v>#N/A</v>
      </c>
      <c r="J789" s="268" t="e">
        <f>VLOOKUP('Trial Balance'!$A789,'Code Allocation'!$A:$F,6,0)</f>
        <v>#N/A</v>
      </c>
    </row>
    <row r="790" spans="1:10" ht="15" hidden="1" customHeight="1" x14ac:dyDescent="0.25">
      <c r="A790" s="648"/>
      <c r="B790" s="648"/>
      <c r="C790" s="648"/>
      <c r="D790" s="648"/>
      <c r="E790" s="305">
        <f>SUMIF(Adjustments!A:A,A790,Adjustments!C:C)</f>
        <v>0</v>
      </c>
      <c r="F790" s="278">
        <f t="shared" si="11"/>
        <v>0</v>
      </c>
      <c r="G790" s="263" t="e">
        <v>#N/A</v>
      </c>
      <c r="H790" s="266" t="e">
        <f>VLOOKUP('Trial Balance'!$A790,'Code Allocation'!$A:$D,4,0)</f>
        <v>#N/A</v>
      </c>
      <c r="I790" s="267" t="e">
        <f>VLOOKUP('Trial Balance'!$A790,'Code Allocation'!$A:$E,5,0)</f>
        <v>#N/A</v>
      </c>
      <c r="J790" s="268" t="e">
        <f>VLOOKUP('Trial Balance'!$A790,'Code Allocation'!$A:$F,6,0)</f>
        <v>#N/A</v>
      </c>
    </row>
    <row r="791" spans="1:10" ht="15" hidden="1" customHeight="1" x14ac:dyDescent="0.25">
      <c r="A791" s="648"/>
      <c r="B791" s="648"/>
      <c r="C791" s="649"/>
      <c r="D791" s="648"/>
      <c r="E791" s="305">
        <f>SUMIF(Adjustments!A:A,A791,Adjustments!C:C)</f>
        <v>0</v>
      </c>
      <c r="F791" s="278">
        <f t="shared" si="11"/>
        <v>0</v>
      </c>
      <c r="G791" s="263" t="e">
        <v>#N/A</v>
      </c>
      <c r="H791" s="266" t="e">
        <f>VLOOKUP('Trial Balance'!$A791,'Code Allocation'!$A:$D,4,0)</f>
        <v>#N/A</v>
      </c>
      <c r="I791" s="267" t="e">
        <f>VLOOKUP('Trial Balance'!$A791,'Code Allocation'!$A:$E,5,0)</f>
        <v>#N/A</v>
      </c>
      <c r="J791" s="268" t="e">
        <f>VLOOKUP('Trial Balance'!$A791,'Code Allocation'!$A:$F,6,0)</f>
        <v>#N/A</v>
      </c>
    </row>
    <row r="792" spans="1:10" ht="15" hidden="1" customHeight="1" x14ac:dyDescent="0.25">
      <c r="A792" s="648"/>
      <c r="B792" s="648"/>
      <c r="C792" s="649"/>
      <c r="D792" s="648"/>
      <c r="E792" s="305">
        <f>SUMIF(Adjustments!A:A,A792,Adjustments!C:C)</f>
        <v>0</v>
      </c>
      <c r="F792" s="278">
        <f t="shared" si="11"/>
        <v>0</v>
      </c>
      <c r="G792" s="263" t="e">
        <v>#N/A</v>
      </c>
      <c r="H792" s="266" t="e">
        <f>VLOOKUP('Trial Balance'!$A792,'Code Allocation'!$A:$D,4,0)</f>
        <v>#N/A</v>
      </c>
      <c r="I792" s="267" t="e">
        <f>VLOOKUP('Trial Balance'!$A792,'Code Allocation'!$A:$E,5,0)</f>
        <v>#N/A</v>
      </c>
      <c r="J792" s="268" t="e">
        <f>VLOOKUP('Trial Balance'!$A792,'Code Allocation'!$A:$F,6,0)</f>
        <v>#N/A</v>
      </c>
    </row>
    <row r="793" spans="1:10" ht="15" hidden="1" customHeight="1" x14ac:dyDescent="0.25">
      <c r="A793" s="648"/>
      <c r="B793" s="648"/>
      <c r="C793" s="649"/>
      <c r="D793" s="648"/>
      <c r="E793" s="305">
        <f>SUMIF(Adjustments!A:A,A793,Adjustments!C:C)</f>
        <v>0</v>
      </c>
      <c r="F793" s="278">
        <f t="shared" si="11"/>
        <v>0</v>
      </c>
      <c r="G793" s="263" t="e">
        <v>#N/A</v>
      </c>
      <c r="H793" s="266" t="e">
        <f>VLOOKUP('Trial Balance'!$A793,'Code Allocation'!$A:$D,4,0)</f>
        <v>#N/A</v>
      </c>
      <c r="I793" s="267" t="e">
        <f>VLOOKUP('Trial Balance'!$A793,'Code Allocation'!$A:$E,5,0)</f>
        <v>#N/A</v>
      </c>
      <c r="J793" s="268" t="e">
        <f>VLOOKUP('Trial Balance'!$A793,'Code Allocation'!$A:$F,6,0)</f>
        <v>#N/A</v>
      </c>
    </row>
    <row r="794" spans="1:10" ht="15" hidden="1" customHeight="1" x14ac:dyDescent="0.25">
      <c r="A794" s="648"/>
      <c r="B794" s="648"/>
      <c r="C794" s="649"/>
      <c r="D794" s="648"/>
      <c r="E794" s="305">
        <f>SUMIF(Adjustments!A:A,A794,Adjustments!C:C)</f>
        <v>0</v>
      </c>
      <c r="F794" s="278">
        <f t="shared" si="11"/>
        <v>0</v>
      </c>
      <c r="G794" s="263" t="e">
        <v>#N/A</v>
      </c>
      <c r="H794" s="266" t="e">
        <f>VLOOKUP('Trial Balance'!$A794,'Code Allocation'!$A:$D,4,0)</f>
        <v>#N/A</v>
      </c>
      <c r="I794" s="267" t="e">
        <f>VLOOKUP('Trial Balance'!$A794,'Code Allocation'!$A:$E,5,0)</f>
        <v>#N/A</v>
      </c>
      <c r="J794" s="268" t="e">
        <f>VLOOKUP('Trial Balance'!$A794,'Code Allocation'!$A:$F,6,0)</f>
        <v>#N/A</v>
      </c>
    </row>
    <row r="795" spans="1:10" ht="15" hidden="1" customHeight="1" x14ac:dyDescent="0.25">
      <c r="A795" s="648"/>
      <c r="B795" s="648"/>
      <c r="C795" s="649"/>
      <c r="D795" s="648"/>
      <c r="E795" s="305">
        <f>SUMIF(Adjustments!A:A,A795,Adjustments!C:C)</f>
        <v>0</v>
      </c>
      <c r="F795" s="278">
        <f t="shared" si="11"/>
        <v>0</v>
      </c>
      <c r="G795" s="263" t="e">
        <v>#N/A</v>
      </c>
      <c r="H795" s="266" t="e">
        <f>VLOOKUP('Trial Balance'!$A795,'Code Allocation'!$A:$D,4,0)</f>
        <v>#N/A</v>
      </c>
      <c r="I795" s="267" t="e">
        <f>VLOOKUP('Trial Balance'!$A795,'Code Allocation'!$A:$E,5,0)</f>
        <v>#N/A</v>
      </c>
      <c r="J795" s="268" t="e">
        <f>VLOOKUP('Trial Balance'!$A795,'Code Allocation'!$A:$F,6,0)</f>
        <v>#N/A</v>
      </c>
    </row>
    <row r="796" spans="1:10" ht="15" hidden="1" customHeight="1" x14ac:dyDescent="0.25">
      <c r="A796" s="648"/>
      <c r="B796" s="648"/>
      <c r="C796" s="649"/>
      <c r="D796" s="648"/>
      <c r="E796" s="305">
        <f>SUMIF(Adjustments!A:A,A796,Adjustments!C:C)</f>
        <v>0</v>
      </c>
      <c r="F796" s="278">
        <f t="shared" si="11"/>
        <v>0</v>
      </c>
      <c r="G796" s="263" t="e">
        <v>#N/A</v>
      </c>
      <c r="H796" s="266" t="e">
        <f>VLOOKUP('Trial Balance'!$A796,'Code Allocation'!$A:$D,4,0)</f>
        <v>#N/A</v>
      </c>
      <c r="I796" s="267" t="e">
        <f>VLOOKUP('Trial Balance'!$A796,'Code Allocation'!$A:$E,5,0)</f>
        <v>#N/A</v>
      </c>
      <c r="J796" s="268" t="e">
        <f>VLOOKUP('Trial Balance'!$A796,'Code Allocation'!$A:$F,6,0)</f>
        <v>#N/A</v>
      </c>
    </row>
    <row r="797" spans="1:10" ht="15" hidden="1" customHeight="1" x14ac:dyDescent="0.25">
      <c r="A797" s="648"/>
      <c r="B797" s="648"/>
      <c r="C797" s="649"/>
      <c r="D797" s="648"/>
      <c r="E797" s="305">
        <f>SUMIF(Adjustments!A:A,A797,Adjustments!C:C)</f>
        <v>0</v>
      </c>
      <c r="F797" s="278">
        <f t="shared" si="11"/>
        <v>0</v>
      </c>
      <c r="G797" s="263" t="e">
        <v>#N/A</v>
      </c>
      <c r="H797" s="266" t="e">
        <f>VLOOKUP('Trial Balance'!$A797,'Code Allocation'!$A:$D,4,0)</f>
        <v>#N/A</v>
      </c>
      <c r="I797" s="267" t="e">
        <f>VLOOKUP('Trial Balance'!$A797,'Code Allocation'!$A:$E,5,0)</f>
        <v>#N/A</v>
      </c>
      <c r="J797" s="268" t="e">
        <f>VLOOKUP('Trial Balance'!$A797,'Code Allocation'!$A:$F,6,0)</f>
        <v>#N/A</v>
      </c>
    </row>
    <row r="798" spans="1:10" ht="15" hidden="1" customHeight="1" x14ac:dyDescent="0.25">
      <c r="A798" s="648"/>
      <c r="B798" s="648"/>
      <c r="C798" s="649"/>
      <c r="D798" s="648"/>
      <c r="E798" s="305">
        <f>SUMIF(Adjustments!A:A,A798,Adjustments!C:C)</f>
        <v>0</v>
      </c>
      <c r="F798" s="278">
        <f t="shared" si="11"/>
        <v>0</v>
      </c>
      <c r="G798" s="263" t="e">
        <v>#N/A</v>
      </c>
      <c r="H798" s="266" t="e">
        <f>VLOOKUP('Trial Balance'!$A798,'Code Allocation'!$A:$D,4,0)</f>
        <v>#N/A</v>
      </c>
      <c r="I798" s="267" t="e">
        <f>VLOOKUP('Trial Balance'!$A798,'Code Allocation'!$A:$E,5,0)</f>
        <v>#N/A</v>
      </c>
      <c r="J798" s="268" t="e">
        <f>VLOOKUP('Trial Balance'!$A798,'Code Allocation'!$A:$F,6,0)</f>
        <v>#N/A</v>
      </c>
    </row>
    <row r="799" spans="1:10" ht="15" hidden="1" customHeight="1" x14ac:dyDescent="0.25">
      <c r="A799" s="648"/>
      <c r="B799" s="648"/>
      <c r="C799" s="648"/>
      <c r="D799" s="649"/>
      <c r="E799" s="305">
        <f>SUMIF(Adjustments!A:A,A799,Adjustments!C:C)</f>
        <v>0</v>
      </c>
      <c r="F799" s="278">
        <f t="shared" si="11"/>
        <v>0</v>
      </c>
      <c r="G799" s="263" t="e">
        <v>#N/A</v>
      </c>
      <c r="H799" s="266" t="e">
        <f>VLOOKUP('Trial Balance'!$A799,'Code Allocation'!$A:$D,4,0)</f>
        <v>#N/A</v>
      </c>
      <c r="I799" s="267" t="e">
        <f>VLOOKUP('Trial Balance'!$A799,'Code Allocation'!$A:$E,5,0)</f>
        <v>#N/A</v>
      </c>
      <c r="J799" s="268" t="e">
        <f>VLOOKUP('Trial Balance'!$A799,'Code Allocation'!$A:$F,6,0)</f>
        <v>#N/A</v>
      </c>
    </row>
    <row r="800" spans="1:10" ht="15" hidden="1" customHeight="1" x14ac:dyDescent="0.25">
      <c r="A800" s="648"/>
      <c r="B800" s="648"/>
      <c r="C800" s="648"/>
      <c r="D800" s="648"/>
      <c r="E800" s="305">
        <f>SUMIF(Adjustments!A:A,A800,Adjustments!C:C)</f>
        <v>0</v>
      </c>
      <c r="F800" s="278">
        <f t="shared" si="11"/>
        <v>0</v>
      </c>
      <c r="G800" s="263" t="e">
        <v>#N/A</v>
      </c>
      <c r="H800" s="266" t="e">
        <f>VLOOKUP('Trial Balance'!$A800,'Code Allocation'!$A:$D,4,0)</f>
        <v>#N/A</v>
      </c>
      <c r="I800" s="267" t="e">
        <f>VLOOKUP('Trial Balance'!$A800,'Code Allocation'!$A:$E,5,0)</f>
        <v>#N/A</v>
      </c>
      <c r="J800" s="268" t="e">
        <f>VLOOKUP('Trial Balance'!$A800,'Code Allocation'!$A:$F,6,0)</f>
        <v>#N/A</v>
      </c>
    </row>
    <row r="801" spans="1:10" ht="15" hidden="1" customHeight="1" x14ac:dyDescent="0.25">
      <c r="A801" s="648"/>
      <c r="B801" s="648"/>
      <c r="C801" s="649"/>
      <c r="D801" s="648"/>
      <c r="E801" s="305">
        <f>SUMIF(Adjustments!A:A,A801,Adjustments!C:C)</f>
        <v>0</v>
      </c>
      <c r="F801" s="278">
        <f t="shared" si="11"/>
        <v>0</v>
      </c>
      <c r="G801" s="263" t="e">
        <v>#N/A</v>
      </c>
      <c r="H801" s="266" t="e">
        <f>VLOOKUP('Trial Balance'!$A801,'Code Allocation'!$A:$D,4,0)</f>
        <v>#N/A</v>
      </c>
      <c r="I801" s="267" t="e">
        <f>VLOOKUP('Trial Balance'!$A801,'Code Allocation'!$A:$E,5,0)</f>
        <v>#N/A</v>
      </c>
      <c r="J801" s="268" t="e">
        <f>VLOOKUP('Trial Balance'!$A801,'Code Allocation'!$A:$F,6,0)</f>
        <v>#N/A</v>
      </c>
    </row>
    <row r="802" spans="1:10" ht="15" hidden="1" customHeight="1" x14ac:dyDescent="0.25">
      <c r="A802" s="648"/>
      <c r="B802" s="648"/>
      <c r="C802" s="649"/>
      <c r="D802" s="648"/>
      <c r="E802" s="305">
        <f>SUMIF(Adjustments!A:A,A802,Adjustments!C:C)</f>
        <v>0</v>
      </c>
      <c r="F802" s="278">
        <f t="shared" si="11"/>
        <v>0</v>
      </c>
      <c r="G802" s="263" t="e">
        <v>#N/A</v>
      </c>
      <c r="H802" s="266" t="e">
        <f>VLOOKUP('Trial Balance'!$A802,'Code Allocation'!$A:$D,4,0)</f>
        <v>#N/A</v>
      </c>
      <c r="I802" s="267" t="e">
        <f>VLOOKUP('Trial Balance'!$A802,'Code Allocation'!$A:$E,5,0)</f>
        <v>#N/A</v>
      </c>
      <c r="J802" s="268" t="e">
        <f>VLOOKUP('Trial Balance'!$A802,'Code Allocation'!$A:$F,6,0)</f>
        <v>#N/A</v>
      </c>
    </row>
    <row r="803" spans="1:10" ht="15" hidden="1" customHeight="1" x14ac:dyDescent="0.25">
      <c r="A803" s="648"/>
      <c r="B803" s="648"/>
      <c r="C803" s="649"/>
      <c r="D803" s="648"/>
      <c r="E803" s="305">
        <f>SUMIF(Adjustments!A:A,A803,Adjustments!C:C)</f>
        <v>0</v>
      </c>
      <c r="F803" s="278">
        <f t="shared" si="11"/>
        <v>0</v>
      </c>
      <c r="G803" s="263" t="e">
        <v>#N/A</v>
      </c>
      <c r="H803" s="266" t="e">
        <f>VLOOKUP('Trial Balance'!$A803,'Code Allocation'!$A:$D,4,0)</f>
        <v>#N/A</v>
      </c>
      <c r="I803" s="267" t="e">
        <f>VLOOKUP('Trial Balance'!$A803,'Code Allocation'!$A:$E,5,0)</f>
        <v>#N/A</v>
      </c>
      <c r="J803" s="268" t="e">
        <f>VLOOKUP('Trial Balance'!$A803,'Code Allocation'!$A:$F,6,0)</f>
        <v>#N/A</v>
      </c>
    </row>
    <row r="804" spans="1:10" ht="15" hidden="1" customHeight="1" x14ac:dyDescent="0.25">
      <c r="A804" s="648"/>
      <c r="B804" s="648"/>
      <c r="C804" s="649"/>
      <c r="D804" s="648"/>
      <c r="E804" s="305">
        <f>SUMIF(Adjustments!A:A,A804,Adjustments!C:C)</f>
        <v>0</v>
      </c>
      <c r="F804" s="278">
        <f t="shared" si="11"/>
        <v>0</v>
      </c>
      <c r="G804" s="263" t="e">
        <v>#N/A</v>
      </c>
      <c r="H804" s="266" t="e">
        <f>VLOOKUP('Trial Balance'!$A804,'Code Allocation'!$A:$D,4,0)</f>
        <v>#N/A</v>
      </c>
      <c r="I804" s="267" t="e">
        <f>VLOOKUP('Trial Balance'!$A804,'Code Allocation'!$A:$E,5,0)</f>
        <v>#N/A</v>
      </c>
      <c r="J804" s="268" t="e">
        <f>VLOOKUP('Trial Balance'!$A804,'Code Allocation'!$A:$F,6,0)</f>
        <v>#N/A</v>
      </c>
    </row>
    <row r="805" spans="1:10" ht="15" hidden="1" customHeight="1" x14ac:dyDescent="0.25">
      <c r="A805" s="648"/>
      <c r="B805" s="648"/>
      <c r="C805" s="649"/>
      <c r="D805" s="648"/>
      <c r="E805" s="305">
        <f>SUMIF(Adjustments!A:A,A805,Adjustments!C:C)</f>
        <v>0</v>
      </c>
      <c r="F805" s="278">
        <f t="shared" si="11"/>
        <v>0</v>
      </c>
      <c r="G805" s="263" t="e">
        <v>#N/A</v>
      </c>
      <c r="H805" s="266" t="e">
        <f>VLOOKUP('Trial Balance'!$A805,'Code Allocation'!$A:$D,4,0)</f>
        <v>#N/A</v>
      </c>
      <c r="I805" s="267" t="e">
        <f>VLOOKUP('Trial Balance'!$A805,'Code Allocation'!$A:$E,5,0)</f>
        <v>#N/A</v>
      </c>
      <c r="J805" s="268" t="e">
        <f>VLOOKUP('Trial Balance'!$A805,'Code Allocation'!$A:$F,6,0)</f>
        <v>#N/A</v>
      </c>
    </row>
    <row r="806" spans="1:10" ht="15" hidden="1" customHeight="1" x14ac:dyDescent="0.25">
      <c r="A806" s="648"/>
      <c r="B806" s="648"/>
      <c r="C806" s="648"/>
      <c r="D806" s="648"/>
      <c r="E806" s="305">
        <f>SUMIF(Adjustments!A:A,A806,Adjustments!C:C)</f>
        <v>0</v>
      </c>
      <c r="F806" s="278">
        <f t="shared" si="11"/>
        <v>0</v>
      </c>
      <c r="G806" s="263" t="e">
        <v>#N/A</v>
      </c>
      <c r="H806" s="266" t="e">
        <f>VLOOKUP('Trial Balance'!$A806,'Code Allocation'!$A:$D,4,0)</f>
        <v>#N/A</v>
      </c>
      <c r="I806" s="267" t="e">
        <f>VLOOKUP('Trial Balance'!$A806,'Code Allocation'!$A:$E,5,0)</f>
        <v>#N/A</v>
      </c>
      <c r="J806" s="268" t="e">
        <f>VLOOKUP('Trial Balance'!$A806,'Code Allocation'!$A:$F,6,0)</f>
        <v>#N/A</v>
      </c>
    </row>
    <row r="807" spans="1:10" ht="15" hidden="1" customHeight="1" x14ac:dyDescent="0.25">
      <c r="A807" s="648"/>
      <c r="B807" s="648"/>
      <c r="C807" s="648"/>
      <c r="D807" s="648"/>
      <c r="E807" s="305">
        <f>SUMIF(Adjustments!A:A,A807,Adjustments!C:C)</f>
        <v>0</v>
      </c>
      <c r="F807" s="278">
        <f t="shared" si="11"/>
        <v>0</v>
      </c>
      <c r="G807" s="263" t="e">
        <v>#N/A</v>
      </c>
      <c r="H807" s="266" t="e">
        <f>VLOOKUP('Trial Balance'!$A807,'Code Allocation'!$A:$D,4,0)</f>
        <v>#N/A</v>
      </c>
      <c r="I807" s="267" t="e">
        <f>VLOOKUP('Trial Balance'!$A807,'Code Allocation'!$A:$E,5,0)</f>
        <v>#N/A</v>
      </c>
      <c r="J807" s="268" t="e">
        <f>VLOOKUP('Trial Balance'!$A807,'Code Allocation'!$A:$F,6,0)</f>
        <v>#N/A</v>
      </c>
    </row>
    <row r="808" spans="1:10" ht="15" hidden="1" customHeight="1" x14ac:dyDescent="0.25">
      <c r="A808" s="648"/>
      <c r="B808" s="648"/>
      <c r="C808" s="648"/>
      <c r="D808" s="649"/>
      <c r="E808" s="305">
        <f>SUMIF(Adjustments!A:A,A808,Adjustments!C:C)</f>
        <v>0</v>
      </c>
      <c r="F808" s="278">
        <f t="shared" si="11"/>
        <v>0</v>
      </c>
      <c r="G808" s="263" t="e">
        <v>#N/A</v>
      </c>
      <c r="H808" s="266" t="e">
        <f>VLOOKUP('Trial Balance'!$A808,'Code Allocation'!$A:$D,4,0)</f>
        <v>#N/A</v>
      </c>
      <c r="I808" s="267" t="e">
        <f>VLOOKUP('Trial Balance'!$A808,'Code Allocation'!$A:$E,5,0)</f>
        <v>#N/A</v>
      </c>
      <c r="J808" s="268" t="e">
        <f>VLOOKUP('Trial Balance'!$A808,'Code Allocation'!$A:$F,6,0)</f>
        <v>#N/A</v>
      </c>
    </row>
    <row r="809" spans="1:10" ht="15" hidden="1" customHeight="1" x14ac:dyDescent="0.25">
      <c r="A809" s="648"/>
      <c r="B809" s="648"/>
      <c r="C809" s="648"/>
      <c r="D809" s="649"/>
      <c r="E809" s="305">
        <f>SUMIF(Adjustments!A:A,A809,Adjustments!C:C)</f>
        <v>0</v>
      </c>
      <c r="F809" s="278">
        <f t="shared" si="11"/>
        <v>0</v>
      </c>
      <c r="G809" s="263" t="e">
        <v>#N/A</v>
      </c>
      <c r="H809" s="266" t="e">
        <f>VLOOKUP('Trial Balance'!$A809,'Code Allocation'!$A:$D,4,0)</f>
        <v>#N/A</v>
      </c>
      <c r="I809" s="267" t="e">
        <f>VLOOKUP('Trial Balance'!$A809,'Code Allocation'!$A:$E,5,0)</f>
        <v>#N/A</v>
      </c>
      <c r="J809" s="268" t="e">
        <f>VLOOKUP('Trial Balance'!$A809,'Code Allocation'!$A:$F,6,0)</f>
        <v>#N/A</v>
      </c>
    </row>
    <row r="810" spans="1:10" ht="15" hidden="1" customHeight="1" x14ac:dyDescent="0.25">
      <c r="A810" s="648"/>
      <c r="B810" s="648"/>
      <c r="C810" s="648"/>
      <c r="D810" s="649"/>
      <c r="E810" s="305">
        <f>SUMIF(Adjustments!A:A,A810,Adjustments!C:C)</f>
        <v>0</v>
      </c>
      <c r="F810" s="278">
        <f t="shared" si="11"/>
        <v>0</v>
      </c>
      <c r="G810" s="263" t="e">
        <v>#N/A</v>
      </c>
      <c r="H810" s="266" t="e">
        <f>VLOOKUP('Trial Balance'!$A810,'Code Allocation'!$A:$D,4,0)</f>
        <v>#N/A</v>
      </c>
      <c r="I810" s="267" t="e">
        <f>VLOOKUP('Trial Balance'!$A810,'Code Allocation'!$A:$E,5,0)</f>
        <v>#N/A</v>
      </c>
      <c r="J810" s="268" t="e">
        <f>VLOOKUP('Trial Balance'!$A810,'Code Allocation'!$A:$F,6,0)</f>
        <v>#N/A</v>
      </c>
    </row>
    <row r="811" spans="1:10" ht="15" hidden="1" customHeight="1" x14ac:dyDescent="0.25">
      <c r="A811" s="648"/>
      <c r="B811" s="648"/>
      <c r="C811" s="648"/>
      <c r="D811" s="649"/>
      <c r="E811" s="305">
        <f>SUMIF(Adjustments!A:A,A811,Adjustments!C:C)</f>
        <v>0</v>
      </c>
      <c r="F811" s="278">
        <f t="shared" si="11"/>
        <v>0</v>
      </c>
      <c r="G811" s="263" t="e">
        <v>#N/A</v>
      </c>
      <c r="H811" s="266" t="e">
        <f>VLOOKUP('Trial Balance'!$A811,'Code Allocation'!$A:$D,4,0)</f>
        <v>#N/A</v>
      </c>
      <c r="I811" s="267" t="e">
        <f>VLOOKUP('Trial Balance'!$A811,'Code Allocation'!$A:$E,5,0)</f>
        <v>#N/A</v>
      </c>
      <c r="J811" s="268" t="e">
        <f>VLOOKUP('Trial Balance'!$A811,'Code Allocation'!$A:$F,6,0)</f>
        <v>#N/A</v>
      </c>
    </row>
    <row r="812" spans="1:10" ht="15" hidden="1" customHeight="1" x14ac:dyDescent="0.25">
      <c r="A812" s="648"/>
      <c r="B812" s="648"/>
      <c r="C812" s="648"/>
      <c r="D812" s="649"/>
      <c r="E812" s="305">
        <f>SUMIF(Adjustments!A:A,A812,Adjustments!C:C)</f>
        <v>0</v>
      </c>
      <c r="F812" s="278">
        <f t="shared" ref="F812:F875" si="12">C812-D812+E812</f>
        <v>0</v>
      </c>
      <c r="G812" s="263" t="e">
        <v>#N/A</v>
      </c>
      <c r="H812" s="266" t="e">
        <f>VLOOKUP('Trial Balance'!$A812,'Code Allocation'!$A:$D,4,0)</f>
        <v>#N/A</v>
      </c>
      <c r="I812" s="267" t="e">
        <f>VLOOKUP('Trial Balance'!$A812,'Code Allocation'!$A:$E,5,0)</f>
        <v>#N/A</v>
      </c>
      <c r="J812" s="268" t="e">
        <f>VLOOKUP('Trial Balance'!$A812,'Code Allocation'!$A:$F,6,0)</f>
        <v>#N/A</v>
      </c>
    </row>
    <row r="813" spans="1:10" ht="15" hidden="1" customHeight="1" x14ac:dyDescent="0.25">
      <c r="A813" s="648"/>
      <c r="B813" s="648"/>
      <c r="C813" s="648"/>
      <c r="D813" s="649"/>
      <c r="E813" s="305">
        <f>SUMIF(Adjustments!A:A,A813,Adjustments!C:C)</f>
        <v>0</v>
      </c>
      <c r="F813" s="278">
        <f t="shared" si="12"/>
        <v>0</v>
      </c>
      <c r="G813" s="263" t="e">
        <v>#N/A</v>
      </c>
      <c r="H813" s="266" t="e">
        <f>VLOOKUP('Trial Balance'!$A813,'Code Allocation'!$A:$D,4,0)</f>
        <v>#N/A</v>
      </c>
      <c r="I813" s="267" t="e">
        <f>VLOOKUP('Trial Balance'!$A813,'Code Allocation'!$A:$E,5,0)</f>
        <v>#N/A</v>
      </c>
      <c r="J813" s="268" t="e">
        <f>VLOOKUP('Trial Balance'!$A813,'Code Allocation'!$A:$F,6,0)</f>
        <v>#N/A</v>
      </c>
    </row>
    <row r="814" spans="1:10" ht="15" hidden="1" customHeight="1" x14ac:dyDescent="0.25">
      <c r="A814" s="648"/>
      <c r="B814" s="648"/>
      <c r="C814" s="648"/>
      <c r="D814" s="649"/>
      <c r="E814" s="305">
        <f>SUMIF(Adjustments!A:A,A814,Adjustments!C:C)</f>
        <v>0</v>
      </c>
      <c r="F814" s="278">
        <f t="shared" si="12"/>
        <v>0</v>
      </c>
      <c r="G814" s="263" t="e">
        <v>#N/A</v>
      </c>
      <c r="H814" s="266" t="e">
        <f>VLOOKUP('Trial Balance'!$A814,'Code Allocation'!$A:$D,4,0)</f>
        <v>#N/A</v>
      </c>
      <c r="I814" s="267" t="e">
        <f>VLOOKUP('Trial Balance'!$A814,'Code Allocation'!$A:$E,5,0)</f>
        <v>#N/A</v>
      </c>
      <c r="J814" s="268" t="e">
        <f>VLOOKUP('Trial Balance'!$A814,'Code Allocation'!$A:$F,6,0)</f>
        <v>#N/A</v>
      </c>
    </row>
    <row r="815" spans="1:10" ht="15" hidden="1" customHeight="1" x14ac:dyDescent="0.25">
      <c r="A815" s="648"/>
      <c r="B815" s="648"/>
      <c r="C815" s="648"/>
      <c r="D815" s="649"/>
      <c r="E815" s="305">
        <f>SUMIF(Adjustments!A:A,A815,Adjustments!C:C)</f>
        <v>0</v>
      </c>
      <c r="F815" s="278">
        <f t="shared" si="12"/>
        <v>0</v>
      </c>
      <c r="G815" s="263" t="e">
        <v>#N/A</v>
      </c>
      <c r="H815" s="266" t="e">
        <f>VLOOKUP('Trial Balance'!$A815,'Code Allocation'!$A:$D,4,0)</f>
        <v>#N/A</v>
      </c>
      <c r="I815" s="267" t="e">
        <f>VLOOKUP('Trial Balance'!$A815,'Code Allocation'!$A:$E,5,0)</f>
        <v>#N/A</v>
      </c>
      <c r="J815" s="268" t="e">
        <f>VLOOKUP('Trial Balance'!$A815,'Code Allocation'!$A:$F,6,0)</f>
        <v>#N/A</v>
      </c>
    </row>
    <row r="816" spans="1:10" ht="15" hidden="1" customHeight="1" x14ac:dyDescent="0.25">
      <c r="A816" s="648"/>
      <c r="B816" s="648"/>
      <c r="C816" s="649"/>
      <c r="D816" s="648"/>
      <c r="E816" s="305">
        <f>SUMIF(Adjustments!A:A,A816,Adjustments!C:C)</f>
        <v>0</v>
      </c>
      <c r="F816" s="278">
        <f t="shared" si="12"/>
        <v>0</v>
      </c>
      <c r="G816" s="263" t="e">
        <v>#N/A</v>
      </c>
      <c r="H816" s="266" t="e">
        <f>VLOOKUP('Trial Balance'!$A816,'Code Allocation'!$A:$D,4,0)</f>
        <v>#N/A</v>
      </c>
      <c r="I816" s="267" t="e">
        <f>VLOOKUP('Trial Balance'!$A816,'Code Allocation'!$A:$E,5,0)</f>
        <v>#N/A</v>
      </c>
      <c r="J816" s="268" t="e">
        <f>VLOOKUP('Trial Balance'!$A816,'Code Allocation'!$A:$F,6,0)</f>
        <v>#N/A</v>
      </c>
    </row>
    <row r="817" spans="1:10" ht="15" hidden="1" customHeight="1" x14ac:dyDescent="0.25">
      <c r="A817" s="648"/>
      <c r="B817" s="648"/>
      <c r="C817" s="649"/>
      <c r="D817" s="648"/>
      <c r="E817" s="305">
        <f>SUMIF(Adjustments!A:A,A817,Adjustments!C:C)</f>
        <v>0</v>
      </c>
      <c r="F817" s="278">
        <f t="shared" si="12"/>
        <v>0</v>
      </c>
      <c r="G817" s="263" t="e">
        <v>#N/A</v>
      </c>
      <c r="H817" s="266" t="e">
        <f>VLOOKUP('Trial Balance'!$A817,'Code Allocation'!$A:$D,4,0)</f>
        <v>#N/A</v>
      </c>
      <c r="I817" s="267" t="e">
        <f>VLOOKUP('Trial Balance'!$A817,'Code Allocation'!$A:$E,5,0)</f>
        <v>#N/A</v>
      </c>
      <c r="J817" s="268" t="e">
        <f>VLOOKUP('Trial Balance'!$A817,'Code Allocation'!$A:$F,6,0)</f>
        <v>#N/A</v>
      </c>
    </row>
    <row r="818" spans="1:10" ht="15" hidden="1" customHeight="1" x14ac:dyDescent="0.25">
      <c r="A818" s="648"/>
      <c r="B818" s="648"/>
      <c r="C818" s="648"/>
      <c r="D818" s="648"/>
      <c r="E818" s="305">
        <f>SUMIF(Adjustments!A:A,A818,Adjustments!C:C)</f>
        <v>0</v>
      </c>
      <c r="F818" s="278">
        <f t="shared" si="12"/>
        <v>0</v>
      </c>
      <c r="G818" s="263" t="e">
        <v>#N/A</v>
      </c>
      <c r="H818" s="266" t="e">
        <f>VLOOKUP('Trial Balance'!$A818,'Code Allocation'!$A:$D,4,0)</f>
        <v>#N/A</v>
      </c>
      <c r="I818" s="267" t="e">
        <f>VLOOKUP('Trial Balance'!$A818,'Code Allocation'!$A:$E,5,0)</f>
        <v>#N/A</v>
      </c>
      <c r="J818" s="268" t="e">
        <f>VLOOKUP('Trial Balance'!$A818,'Code Allocation'!$A:$F,6,0)</f>
        <v>#N/A</v>
      </c>
    </row>
    <row r="819" spans="1:10" ht="15" hidden="1" customHeight="1" x14ac:dyDescent="0.25">
      <c r="A819" s="648"/>
      <c r="B819" s="648"/>
      <c r="C819" s="649"/>
      <c r="D819" s="648"/>
      <c r="E819" s="305">
        <f>SUMIF(Adjustments!A:A,A819,Adjustments!C:C)</f>
        <v>0</v>
      </c>
      <c r="F819" s="278">
        <f t="shared" si="12"/>
        <v>0</v>
      </c>
      <c r="G819" s="263" t="e">
        <v>#N/A</v>
      </c>
      <c r="H819" s="266" t="e">
        <f>VLOOKUP('Trial Balance'!$A819,'Code Allocation'!$A:$D,4,0)</f>
        <v>#N/A</v>
      </c>
      <c r="I819" s="267" t="e">
        <f>VLOOKUP('Trial Balance'!$A819,'Code Allocation'!$A:$E,5,0)</f>
        <v>#N/A</v>
      </c>
      <c r="J819" s="268" t="e">
        <f>VLOOKUP('Trial Balance'!$A819,'Code Allocation'!$A:$F,6,0)</f>
        <v>#N/A</v>
      </c>
    </row>
    <row r="820" spans="1:10" ht="15" hidden="1" customHeight="1" x14ac:dyDescent="0.25">
      <c r="A820" s="648"/>
      <c r="B820" s="648"/>
      <c r="C820" s="648"/>
      <c r="D820" s="648"/>
      <c r="E820" s="305">
        <f>SUMIF(Adjustments!A:A,A820,Adjustments!C:C)</f>
        <v>0</v>
      </c>
      <c r="F820" s="278">
        <f t="shared" si="12"/>
        <v>0</v>
      </c>
      <c r="G820" s="263" t="e">
        <v>#N/A</v>
      </c>
      <c r="H820" s="266" t="e">
        <f>VLOOKUP('Trial Balance'!$A820,'Code Allocation'!$A:$D,4,0)</f>
        <v>#N/A</v>
      </c>
      <c r="I820" s="267" t="e">
        <f>VLOOKUP('Trial Balance'!$A820,'Code Allocation'!$A:$E,5,0)</f>
        <v>#N/A</v>
      </c>
      <c r="J820" s="268" t="e">
        <f>VLOOKUP('Trial Balance'!$A820,'Code Allocation'!$A:$F,6,0)</f>
        <v>#N/A</v>
      </c>
    </row>
    <row r="821" spans="1:10" ht="15" hidden="1" customHeight="1" x14ac:dyDescent="0.25">
      <c r="A821" s="648"/>
      <c r="B821" s="648"/>
      <c r="C821" s="649"/>
      <c r="D821" s="648"/>
      <c r="E821" s="305">
        <f>SUMIF(Adjustments!A:A,A821,Adjustments!C:C)</f>
        <v>0</v>
      </c>
      <c r="F821" s="278">
        <f t="shared" si="12"/>
        <v>0</v>
      </c>
      <c r="G821" s="263" t="e">
        <v>#N/A</v>
      </c>
      <c r="H821" s="266" t="e">
        <f>VLOOKUP('Trial Balance'!$A821,'Code Allocation'!$A:$D,4,0)</f>
        <v>#N/A</v>
      </c>
      <c r="I821" s="267" t="e">
        <f>VLOOKUP('Trial Balance'!$A821,'Code Allocation'!$A:$E,5,0)</f>
        <v>#N/A</v>
      </c>
      <c r="J821" s="268" t="e">
        <f>VLOOKUP('Trial Balance'!$A821,'Code Allocation'!$A:$F,6,0)</f>
        <v>#N/A</v>
      </c>
    </row>
    <row r="822" spans="1:10" ht="15" hidden="1" customHeight="1" x14ac:dyDescent="0.25">
      <c r="A822" s="648"/>
      <c r="B822" s="648"/>
      <c r="C822" s="649"/>
      <c r="D822" s="648"/>
      <c r="E822" s="305">
        <f>SUMIF(Adjustments!A:A,A822,Adjustments!C:C)</f>
        <v>0</v>
      </c>
      <c r="F822" s="278">
        <f t="shared" si="12"/>
        <v>0</v>
      </c>
      <c r="G822" s="263" t="e">
        <v>#N/A</v>
      </c>
      <c r="H822" s="266" t="e">
        <f>VLOOKUP('Trial Balance'!$A822,'Code Allocation'!$A:$D,4,0)</f>
        <v>#N/A</v>
      </c>
      <c r="I822" s="267" t="e">
        <f>VLOOKUP('Trial Balance'!$A822,'Code Allocation'!$A:$E,5,0)</f>
        <v>#N/A</v>
      </c>
      <c r="J822" s="268" t="e">
        <f>VLOOKUP('Trial Balance'!$A822,'Code Allocation'!$A:$F,6,0)</f>
        <v>#N/A</v>
      </c>
    </row>
    <row r="823" spans="1:10" ht="15" hidden="1" customHeight="1" x14ac:dyDescent="0.25">
      <c r="A823" s="648"/>
      <c r="B823" s="648"/>
      <c r="C823" s="648"/>
      <c r="D823" s="648"/>
      <c r="E823" s="305">
        <f>SUMIF(Adjustments!A:A,A823,Adjustments!C:C)</f>
        <v>0</v>
      </c>
      <c r="F823" s="278">
        <f t="shared" si="12"/>
        <v>0</v>
      </c>
      <c r="G823" s="263" t="e">
        <v>#N/A</v>
      </c>
      <c r="H823" s="266" t="e">
        <f>VLOOKUP('Trial Balance'!$A823,'Code Allocation'!$A:$D,4,0)</f>
        <v>#N/A</v>
      </c>
      <c r="I823" s="267" t="e">
        <f>VLOOKUP('Trial Balance'!$A823,'Code Allocation'!$A:$E,5,0)</f>
        <v>#N/A</v>
      </c>
      <c r="J823" s="268" t="e">
        <f>VLOOKUP('Trial Balance'!$A823,'Code Allocation'!$A:$F,6,0)</f>
        <v>#N/A</v>
      </c>
    </row>
    <row r="824" spans="1:10" ht="15" hidden="1" customHeight="1" x14ac:dyDescent="0.25">
      <c r="A824" s="648"/>
      <c r="B824" s="648"/>
      <c r="C824" s="648"/>
      <c r="D824" s="649"/>
      <c r="E824" s="305">
        <f>SUMIF(Adjustments!A:A,A824,Adjustments!C:C)</f>
        <v>0</v>
      </c>
      <c r="F824" s="278">
        <f t="shared" si="12"/>
        <v>0</v>
      </c>
      <c r="G824" s="263" t="e">
        <v>#N/A</v>
      </c>
      <c r="H824" s="266" t="e">
        <f>VLOOKUP('Trial Balance'!$A824,'Code Allocation'!$A:$D,4,0)</f>
        <v>#N/A</v>
      </c>
      <c r="I824" s="267" t="e">
        <f>VLOOKUP('Trial Balance'!$A824,'Code Allocation'!$A:$E,5,0)</f>
        <v>#N/A</v>
      </c>
      <c r="J824" s="268" t="e">
        <f>VLOOKUP('Trial Balance'!$A824,'Code Allocation'!$A:$F,6,0)</f>
        <v>#N/A</v>
      </c>
    </row>
    <row r="825" spans="1:10" ht="15" hidden="1" customHeight="1" x14ac:dyDescent="0.25">
      <c r="A825" s="648"/>
      <c r="B825" s="648"/>
      <c r="C825" s="648"/>
      <c r="D825" s="648"/>
      <c r="E825" s="305">
        <f>SUMIF(Adjustments!A:A,A825,Adjustments!C:C)</f>
        <v>0</v>
      </c>
      <c r="F825" s="278">
        <f t="shared" si="12"/>
        <v>0</v>
      </c>
      <c r="G825" s="263" t="e">
        <v>#N/A</v>
      </c>
      <c r="H825" s="266" t="e">
        <f>VLOOKUP('Trial Balance'!$A825,'Code Allocation'!$A:$D,4,0)</f>
        <v>#N/A</v>
      </c>
      <c r="I825" s="267" t="e">
        <f>VLOOKUP('Trial Balance'!$A825,'Code Allocation'!$A:$E,5,0)</f>
        <v>#N/A</v>
      </c>
      <c r="J825" s="268" t="e">
        <f>VLOOKUP('Trial Balance'!$A825,'Code Allocation'!$A:$F,6,0)</f>
        <v>#N/A</v>
      </c>
    </row>
    <row r="826" spans="1:10" ht="15" hidden="1" customHeight="1" x14ac:dyDescent="0.25">
      <c r="A826" s="648"/>
      <c r="B826" s="648"/>
      <c r="C826" s="648"/>
      <c r="D826" s="648"/>
      <c r="E826" s="305">
        <f>SUMIF(Adjustments!A:A,A826,Adjustments!C:C)</f>
        <v>0</v>
      </c>
      <c r="F826" s="278">
        <f t="shared" si="12"/>
        <v>0</v>
      </c>
      <c r="G826" s="263" t="e">
        <v>#N/A</v>
      </c>
      <c r="H826" s="266" t="e">
        <f>VLOOKUP('Trial Balance'!$A826,'Code Allocation'!$A:$D,4,0)</f>
        <v>#N/A</v>
      </c>
      <c r="I826" s="267" t="e">
        <f>VLOOKUP('Trial Balance'!$A826,'Code Allocation'!$A:$E,5,0)</f>
        <v>#N/A</v>
      </c>
      <c r="J826" s="268" t="e">
        <f>VLOOKUP('Trial Balance'!$A826,'Code Allocation'!$A:$F,6,0)</f>
        <v>#N/A</v>
      </c>
    </row>
    <row r="827" spans="1:10" ht="15" hidden="1" customHeight="1" x14ac:dyDescent="0.25">
      <c r="A827" s="648"/>
      <c r="B827" s="648"/>
      <c r="C827" s="648"/>
      <c r="D827" s="648"/>
      <c r="E827" s="305">
        <f>SUMIF(Adjustments!A:A,A827,Adjustments!C:C)</f>
        <v>0</v>
      </c>
      <c r="F827" s="278">
        <f t="shared" si="12"/>
        <v>0</v>
      </c>
      <c r="G827" s="263" t="e">
        <v>#N/A</v>
      </c>
      <c r="H827" s="266" t="e">
        <f>VLOOKUP('Trial Balance'!$A827,'Code Allocation'!$A:$D,4,0)</f>
        <v>#N/A</v>
      </c>
      <c r="I827" s="267" t="e">
        <f>VLOOKUP('Trial Balance'!$A827,'Code Allocation'!$A:$E,5,0)</f>
        <v>#N/A</v>
      </c>
      <c r="J827" s="268" t="e">
        <f>VLOOKUP('Trial Balance'!$A827,'Code Allocation'!$A:$F,6,0)</f>
        <v>#N/A</v>
      </c>
    </row>
    <row r="828" spans="1:10" ht="15" hidden="1" customHeight="1" x14ac:dyDescent="0.25">
      <c r="A828" s="648"/>
      <c r="B828" s="648"/>
      <c r="C828" s="648"/>
      <c r="D828" s="648"/>
      <c r="E828" s="305">
        <f>SUMIF(Adjustments!A:A,A828,Adjustments!C:C)</f>
        <v>0</v>
      </c>
      <c r="F828" s="278">
        <f t="shared" si="12"/>
        <v>0</v>
      </c>
      <c r="G828" s="263" t="e">
        <v>#N/A</v>
      </c>
      <c r="H828" s="266" t="e">
        <f>VLOOKUP('Trial Balance'!$A828,'Code Allocation'!$A:$D,4,0)</f>
        <v>#N/A</v>
      </c>
      <c r="I828" s="267" t="e">
        <f>VLOOKUP('Trial Balance'!$A828,'Code Allocation'!$A:$E,5,0)</f>
        <v>#N/A</v>
      </c>
      <c r="J828" s="268" t="e">
        <f>VLOOKUP('Trial Balance'!$A828,'Code Allocation'!$A:$F,6,0)</f>
        <v>#N/A</v>
      </c>
    </row>
    <row r="829" spans="1:10" ht="15" hidden="1" customHeight="1" x14ac:dyDescent="0.25">
      <c r="A829" s="648"/>
      <c r="B829" s="648"/>
      <c r="C829" s="648"/>
      <c r="D829" s="648"/>
      <c r="E829" s="305">
        <f>SUMIF(Adjustments!A:A,A829,Adjustments!C:C)</f>
        <v>0</v>
      </c>
      <c r="F829" s="278">
        <f t="shared" si="12"/>
        <v>0</v>
      </c>
      <c r="G829" s="263" t="e">
        <v>#N/A</v>
      </c>
      <c r="H829" s="266" t="e">
        <f>VLOOKUP('Trial Balance'!$A829,'Code Allocation'!$A:$D,4,0)</f>
        <v>#N/A</v>
      </c>
      <c r="I829" s="267" t="e">
        <f>VLOOKUP('Trial Balance'!$A829,'Code Allocation'!$A:$E,5,0)</f>
        <v>#N/A</v>
      </c>
      <c r="J829" s="268" t="e">
        <f>VLOOKUP('Trial Balance'!$A829,'Code Allocation'!$A:$F,6,0)</f>
        <v>#N/A</v>
      </c>
    </row>
    <row r="830" spans="1:10" ht="15" hidden="1" customHeight="1" x14ac:dyDescent="0.25">
      <c r="A830" s="648"/>
      <c r="B830" s="648"/>
      <c r="C830" s="648"/>
      <c r="D830" s="648"/>
      <c r="E830" s="305">
        <f>SUMIF(Adjustments!A:A,A830,Adjustments!C:C)</f>
        <v>0</v>
      </c>
      <c r="F830" s="278">
        <f t="shared" si="12"/>
        <v>0</v>
      </c>
      <c r="G830" s="263" t="e">
        <v>#N/A</v>
      </c>
      <c r="H830" s="266" t="e">
        <f>VLOOKUP('Trial Balance'!$A830,'Code Allocation'!$A:$D,4,0)</f>
        <v>#N/A</v>
      </c>
      <c r="I830" s="267" t="e">
        <f>VLOOKUP('Trial Balance'!$A830,'Code Allocation'!$A:$E,5,0)</f>
        <v>#N/A</v>
      </c>
      <c r="J830" s="268" t="e">
        <f>VLOOKUP('Trial Balance'!$A830,'Code Allocation'!$A:$F,6,0)</f>
        <v>#N/A</v>
      </c>
    </row>
    <row r="831" spans="1:10" ht="15" hidden="1" customHeight="1" x14ac:dyDescent="0.25">
      <c r="A831" s="648"/>
      <c r="B831" s="648"/>
      <c r="C831" s="648"/>
      <c r="D831" s="648"/>
      <c r="E831" s="305">
        <f>SUMIF(Adjustments!A:A,A831,Adjustments!C:C)</f>
        <v>0</v>
      </c>
      <c r="F831" s="278">
        <f t="shared" si="12"/>
        <v>0</v>
      </c>
      <c r="G831" s="263" t="e">
        <v>#N/A</v>
      </c>
      <c r="H831" s="266" t="e">
        <f>VLOOKUP('Trial Balance'!$A831,'Code Allocation'!$A:$D,4,0)</f>
        <v>#N/A</v>
      </c>
      <c r="I831" s="267" t="e">
        <f>VLOOKUP('Trial Balance'!$A831,'Code Allocation'!$A:$E,5,0)</f>
        <v>#N/A</v>
      </c>
      <c r="J831" s="268" t="e">
        <f>VLOOKUP('Trial Balance'!$A831,'Code Allocation'!$A:$F,6,0)</f>
        <v>#N/A</v>
      </c>
    </row>
    <row r="832" spans="1:10" ht="15" hidden="1" customHeight="1" x14ac:dyDescent="0.25">
      <c r="A832" s="648"/>
      <c r="B832" s="648"/>
      <c r="C832" s="648"/>
      <c r="D832" s="648"/>
      <c r="E832" s="305">
        <f>SUMIF(Adjustments!A:A,A832,Adjustments!C:C)</f>
        <v>0</v>
      </c>
      <c r="F832" s="278">
        <f t="shared" si="12"/>
        <v>0</v>
      </c>
      <c r="G832" s="263" t="e">
        <v>#N/A</v>
      </c>
      <c r="H832" s="266" t="e">
        <f>VLOOKUP('Trial Balance'!$A832,'Code Allocation'!$A:$D,4,0)</f>
        <v>#N/A</v>
      </c>
      <c r="I832" s="267" t="e">
        <f>VLOOKUP('Trial Balance'!$A832,'Code Allocation'!$A:$E,5,0)</f>
        <v>#N/A</v>
      </c>
      <c r="J832" s="268" t="e">
        <f>VLOOKUP('Trial Balance'!$A832,'Code Allocation'!$A:$F,6,0)</f>
        <v>#N/A</v>
      </c>
    </row>
    <row r="833" spans="1:10" ht="15" hidden="1" customHeight="1" x14ac:dyDescent="0.25">
      <c r="A833" s="648"/>
      <c r="B833" s="648"/>
      <c r="C833" s="649"/>
      <c r="D833" s="648"/>
      <c r="E833" s="305">
        <f>SUMIF(Adjustments!A:A,A833,Adjustments!C:C)</f>
        <v>0</v>
      </c>
      <c r="F833" s="278">
        <f t="shared" si="12"/>
        <v>0</v>
      </c>
      <c r="G833" s="263" t="e">
        <v>#N/A</v>
      </c>
      <c r="H833" s="266" t="e">
        <f>VLOOKUP('Trial Balance'!$A833,'Code Allocation'!$A:$D,4,0)</f>
        <v>#N/A</v>
      </c>
      <c r="I833" s="267" t="e">
        <f>VLOOKUP('Trial Balance'!$A833,'Code Allocation'!$A:$E,5,0)</f>
        <v>#N/A</v>
      </c>
      <c r="J833" s="268" t="e">
        <f>VLOOKUP('Trial Balance'!$A833,'Code Allocation'!$A:$F,6,0)</f>
        <v>#N/A</v>
      </c>
    </row>
    <row r="834" spans="1:10" ht="15" hidden="1" customHeight="1" x14ac:dyDescent="0.25">
      <c r="A834" s="648"/>
      <c r="B834" s="648"/>
      <c r="C834" s="648"/>
      <c r="D834" s="648"/>
      <c r="E834" s="305">
        <f>SUMIF(Adjustments!A:A,A834,Adjustments!C:C)</f>
        <v>0</v>
      </c>
      <c r="F834" s="278">
        <f t="shared" si="12"/>
        <v>0</v>
      </c>
      <c r="G834" s="263" t="e">
        <v>#N/A</v>
      </c>
      <c r="H834" s="266" t="e">
        <f>VLOOKUP('Trial Balance'!$A834,'Code Allocation'!$A:$D,4,0)</f>
        <v>#N/A</v>
      </c>
      <c r="I834" s="267" t="e">
        <f>VLOOKUP('Trial Balance'!$A834,'Code Allocation'!$A:$E,5,0)</f>
        <v>#N/A</v>
      </c>
      <c r="J834" s="268" t="e">
        <f>VLOOKUP('Trial Balance'!$A834,'Code Allocation'!$A:$F,6,0)</f>
        <v>#N/A</v>
      </c>
    </row>
    <row r="835" spans="1:10" ht="15" hidden="1" customHeight="1" x14ac:dyDescent="0.25">
      <c r="A835" s="648"/>
      <c r="B835" s="648"/>
      <c r="C835" s="648"/>
      <c r="D835" s="648"/>
      <c r="E835" s="305">
        <f>SUMIF(Adjustments!A:A,A835,Adjustments!C:C)</f>
        <v>0</v>
      </c>
      <c r="F835" s="278">
        <f t="shared" si="12"/>
        <v>0</v>
      </c>
      <c r="G835" s="263" t="e">
        <v>#N/A</v>
      </c>
      <c r="H835" s="266" t="e">
        <f>VLOOKUP('Trial Balance'!$A835,'Code Allocation'!$A:$D,4,0)</f>
        <v>#N/A</v>
      </c>
      <c r="I835" s="267" t="e">
        <f>VLOOKUP('Trial Balance'!$A835,'Code Allocation'!$A:$E,5,0)</f>
        <v>#N/A</v>
      </c>
      <c r="J835" s="268" t="e">
        <f>VLOOKUP('Trial Balance'!$A835,'Code Allocation'!$A:$F,6,0)</f>
        <v>#N/A</v>
      </c>
    </row>
    <row r="836" spans="1:10" ht="15" hidden="1" customHeight="1" x14ac:dyDescent="0.25">
      <c r="A836" s="648"/>
      <c r="B836" s="648"/>
      <c r="C836" s="648"/>
      <c r="D836" s="648"/>
      <c r="E836" s="305">
        <f>SUMIF(Adjustments!A:A,A836,Adjustments!C:C)</f>
        <v>0</v>
      </c>
      <c r="F836" s="278">
        <f t="shared" si="12"/>
        <v>0</v>
      </c>
      <c r="G836" s="263" t="e">
        <v>#N/A</v>
      </c>
      <c r="H836" s="266" t="e">
        <f>VLOOKUP('Trial Balance'!$A836,'Code Allocation'!$A:$D,4,0)</f>
        <v>#N/A</v>
      </c>
      <c r="I836" s="267" t="e">
        <f>VLOOKUP('Trial Balance'!$A836,'Code Allocation'!$A:$E,5,0)</f>
        <v>#N/A</v>
      </c>
      <c r="J836" s="268" t="e">
        <f>VLOOKUP('Trial Balance'!$A836,'Code Allocation'!$A:$F,6,0)</f>
        <v>#N/A</v>
      </c>
    </row>
    <row r="837" spans="1:10" ht="15" hidden="1" customHeight="1" x14ac:dyDescent="0.25">
      <c r="A837" s="648"/>
      <c r="B837" s="648"/>
      <c r="C837" s="648"/>
      <c r="D837" s="649"/>
      <c r="E837" s="305">
        <f>SUMIF(Adjustments!A:A,A837,Adjustments!C:C)</f>
        <v>0</v>
      </c>
      <c r="F837" s="278">
        <f t="shared" si="12"/>
        <v>0</v>
      </c>
      <c r="G837" s="263" t="e">
        <v>#N/A</v>
      </c>
      <c r="H837" s="266" t="e">
        <f>VLOOKUP('Trial Balance'!$A837,'Code Allocation'!$A:$D,4,0)</f>
        <v>#N/A</v>
      </c>
      <c r="I837" s="267" t="e">
        <f>VLOOKUP('Trial Balance'!$A837,'Code Allocation'!$A:$E,5,0)</f>
        <v>#N/A</v>
      </c>
      <c r="J837" s="268" t="e">
        <f>VLOOKUP('Trial Balance'!$A837,'Code Allocation'!$A:$F,6,0)</f>
        <v>#N/A</v>
      </c>
    </row>
    <row r="838" spans="1:10" ht="15" hidden="1" customHeight="1" x14ac:dyDescent="0.25">
      <c r="A838" s="648"/>
      <c r="B838" s="648"/>
      <c r="C838" s="649"/>
      <c r="D838" s="648"/>
      <c r="E838" s="305">
        <f>SUMIF(Adjustments!A:A,A838,Adjustments!C:C)</f>
        <v>0</v>
      </c>
      <c r="F838" s="278">
        <f t="shared" si="12"/>
        <v>0</v>
      </c>
      <c r="G838" s="263" t="e">
        <v>#N/A</v>
      </c>
      <c r="H838" s="266" t="e">
        <f>VLOOKUP('Trial Balance'!$A838,'Code Allocation'!$A:$D,4,0)</f>
        <v>#N/A</v>
      </c>
      <c r="I838" s="267" t="e">
        <f>VLOOKUP('Trial Balance'!$A838,'Code Allocation'!$A:$E,5,0)</f>
        <v>#N/A</v>
      </c>
      <c r="J838" s="268" t="e">
        <f>VLOOKUP('Trial Balance'!$A838,'Code Allocation'!$A:$F,6,0)</f>
        <v>#N/A</v>
      </c>
    </row>
    <row r="839" spans="1:10" ht="15" hidden="1" customHeight="1" x14ac:dyDescent="0.25">
      <c r="A839" s="648"/>
      <c r="B839" s="648"/>
      <c r="C839" s="648"/>
      <c r="D839" s="649"/>
      <c r="E839" s="305">
        <f>SUMIF(Adjustments!A:A,A839,Adjustments!C:C)</f>
        <v>0</v>
      </c>
      <c r="F839" s="278">
        <f t="shared" si="12"/>
        <v>0</v>
      </c>
      <c r="G839" s="263" t="e">
        <v>#N/A</v>
      </c>
      <c r="H839" s="266" t="e">
        <f>VLOOKUP('Trial Balance'!$A839,'Code Allocation'!$A:$D,4,0)</f>
        <v>#N/A</v>
      </c>
      <c r="I839" s="267" t="e">
        <f>VLOOKUP('Trial Balance'!$A839,'Code Allocation'!$A:$E,5,0)</f>
        <v>#N/A</v>
      </c>
      <c r="J839" s="268" t="e">
        <f>VLOOKUP('Trial Balance'!$A839,'Code Allocation'!$A:$F,6,0)</f>
        <v>#N/A</v>
      </c>
    </row>
    <row r="840" spans="1:10" ht="15" hidden="1" customHeight="1" x14ac:dyDescent="0.25">
      <c r="A840" s="648"/>
      <c r="B840" s="648"/>
      <c r="C840" s="648"/>
      <c r="D840" s="648"/>
      <c r="E840" s="305">
        <f>SUMIF(Adjustments!A:A,A840,Adjustments!C:C)</f>
        <v>0</v>
      </c>
      <c r="F840" s="278">
        <f t="shared" si="12"/>
        <v>0</v>
      </c>
      <c r="G840" s="263" t="e">
        <v>#N/A</v>
      </c>
      <c r="H840" s="266" t="e">
        <f>VLOOKUP('Trial Balance'!$A840,'Code Allocation'!$A:$D,4,0)</f>
        <v>#N/A</v>
      </c>
      <c r="I840" s="267" t="e">
        <f>VLOOKUP('Trial Balance'!$A840,'Code Allocation'!$A:$E,5,0)</f>
        <v>#N/A</v>
      </c>
      <c r="J840" s="268" t="e">
        <f>VLOOKUP('Trial Balance'!$A840,'Code Allocation'!$A:$F,6,0)</f>
        <v>#N/A</v>
      </c>
    </row>
    <row r="841" spans="1:10" ht="15" hidden="1" customHeight="1" x14ac:dyDescent="0.25">
      <c r="A841" s="648"/>
      <c r="B841" s="648"/>
      <c r="C841" s="648"/>
      <c r="D841" s="649"/>
      <c r="E841" s="305">
        <f>SUMIF(Adjustments!A:A,A841,Adjustments!C:C)</f>
        <v>0</v>
      </c>
      <c r="F841" s="278">
        <f t="shared" si="12"/>
        <v>0</v>
      </c>
      <c r="G841" s="263" t="e">
        <v>#N/A</v>
      </c>
      <c r="H841" s="266" t="e">
        <f>VLOOKUP('Trial Balance'!$A841,'Code Allocation'!$A:$D,4,0)</f>
        <v>#N/A</v>
      </c>
      <c r="I841" s="267" t="e">
        <f>VLOOKUP('Trial Balance'!$A841,'Code Allocation'!$A:$E,5,0)</f>
        <v>#N/A</v>
      </c>
      <c r="J841" s="268" t="e">
        <f>VLOOKUP('Trial Balance'!$A841,'Code Allocation'!$A:$F,6,0)</f>
        <v>#N/A</v>
      </c>
    </row>
    <row r="842" spans="1:10" ht="15" hidden="1" customHeight="1" x14ac:dyDescent="0.25">
      <c r="A842" s="648"/>
      <c r="B842" s="648"/>
      <c r="C842" s="648"/>
      <c r="D842" s="649"/>
      <c r="E842" s="305">
        <f>SUMIF(Adjustments!A:A,A842,Adjustments!C:C)</f>
        <v>0</v>
      </c>
      <c r="F842" s="278">
        <f t="shared" si="12"/>
        <v>0</v>
      </c>
      <c r="G842" s="263" t="e">
        <v>#N/A</v>
      </c>
      <c r="H842" s="266" t="e">
        <f>VLOOKUP('Trial Balance'!$A842,'Code Allocation'!$A:$D,4,0)</f>
        <v>#N/A</v>
      </c>
      <c r="I842" s="267" t="e">
        <f>VLOOKUP('Trial Balance'!$A842,'Code Allocation'!$A:$E,5,0)</f>
        <v>#N/A</v>
      </c>
      <c r="J842" s="268" t="e">
        <f>VLOOKUP('Trial Balance'!$A842,'Code Allocation'!$A:$F,6,0)</f>
        <v>#N/A</v>
      </c>
    </row>
    <row r="843" spans="1:10" ht="15" hidden="1" customHeight="1" x14ac:dyDescent="0.25">
      <c r="A843" s="648"/>
      <c r="B843" s="648"/>
      <c r="C843" s="648"/>
      <c r="D843" s="649"/>
      <c r="E843" s="305">
        <f>SUMIF(Adjustments!A:A,A843,Adjustments!C:C)</f>
        <v>0</v>
      </c>
      <c r="F843" s="278">
        <f t="shared" si="12"/>
        <v>0</v>
      </c>
      <c r="G843" s="263" t="e">
        <v>#N/A</v>
      </c>
      <c r="H843" s="266" t="e">
        <f>VLOOKUP('Trial Balance'!$A843,'Code Allocation'!$A:$D,4,0)</f>
        <v>#N/A</v>
      </c>
      <c r="I843" s="267" t="e">
        <f>VLOOKUP('Trial Balance'!$A843,'Code Allocation'!$A:$E,5,0)</f>
        <v>#N/A</v>
      </c>
      <c r="J843" s="268" t="e">
        <f>VLOOKUP('Trial Balance'!$A843,'Code Allocation'!$A:$F,6,0)</f>
        <v>#N/A</v>
      </c>
    </row>
    <row r="844" spans="1:10" ht="15" hidden="1" customHeight="1" x14ac:dyDescent="0.25">
      <c r="A844" s="648"/>
      <c r="B844" s="648"/>
      <c r="C844" s="648"/>
      <c r="D844" s="649"/>
      <c r="E844" s="305">
        <f>SUMIF(Adjustments!A:A,A844,Adjustments!C:C)</f>
        <v>0</v>
      </c>
      <c r="F844" s="278">
        <f t="shared" si="12"/>
        <v>0</v>
      </c>
      <c r="G844" s="263" t="e">
        <v>#N/A</v>
      </c>
      <c r="H844" s="266" t="e">
        <f>VLOOKUP('Trial Balance'!$A844,'Code Allocation'!$A:$D,4,0)</f>
        <v>#N/A</v>
      </c>
      <c r="I844" s="267" t="e">
        <f>VLOOKUP('Trial Balance'!$A844,'Code Allocation'!$A:$E,5,0)</f>
        <v>#N/A</v>
      </c>
      <c r="J844" s="268" t="e">
        <f>VLOOKUP('Trial Balance'!$A844,'Code Allocation'!$A:$F,6,0)</f>
        <v>#N/A</v>
      </c>
    </row>
    <row r="845" spans="1:10" ht="15" hidden="1" customHeight="1" x14ac:dyDescent="0.25">
      <c r="A845" s="648"/>
      <c r="B845" s="648"/>
      <c r="C845" s="648"/>
      <c r="D845" s="649"/>
      <c r="E845" s="305">
        <f>SUMIF(Adjustments!A:A,A845,Adjustments!C:C)</f>
        <v>0</v>
      </c>
      <c r="F845" s="278">
        <f t="shared" si="12"/>
        <v>0</v>
      </c>
      <c r="G845" s="263" t="e">
        <v>#N/A</v>
      </c>
      <c r="H845" s="266" t="e">
        <f>VLOOKUP('Trial Balance'!$A845,'Code Allocation'!$A:$D,4,0)</f>
        <v>#N/A</v>
      </c>
      <c r="I845" s="267" t="e">
        <f>VLOOKUP('Trial Balance'!$A845,'Code Allocation'!$A:$E,5,0)</f>
        <v>#N/A</v>
      </c>
      <c r="J845" s="268" t="e">
        <f>VLOOKUP('Trial Balance'!$A845,'Code Allocation'!$A:$F,6,0)</f>
        <v>#N/A</v>
      </c>
    </row>
    <row r="846" spans="1:10" ht="15" hidden="1" customHeight="1" x14ac:dyDescent="0.25">
      <c r="A846" s="648"/>
      <c r="B846" s="648"/>
      <c r="C846" s="648"/>
      <c r="D846" s="649"/>
      <c r="E846" s="305">
        <f>SUMIF(Adjustments!A:A,A846,Adjustments!C:C)</f>
        <v>0</v>
      </c>
      <c r="F846" s="278">
        <f t="shared" si="12"/>
        <v>0</v>
      </c>
      <c r="G846" s="263" t="e">
        <v>#N/A</v>
      </c>
      <c r="H846" s="266" t="e">
        <f>VLOOKUP('Trial Balance'!$A846,'Code Allocation'!$A:$D,4,0)</f>
        <v>#N/A</v>
      </c>
      <c r="I846" s="267" t="e">
        <f>VLOOKUP('Trial Balance'!$A846,'Code Allocation'!$A:$E,5,0)</f>
        <v>#N/A</v>
      </c>
      <c r="J846" s="268" t="e">
        <f>VLOOKUP('Trial Balance'!$A846,'Code Allocation'!$A:$F,6,0)</f>
        <v>#N/A</v>
      </c>
    </row>
    <row r="847" spans="1:10" ht="15" hidden="1" customHeight="1" x14ac:dyDescent="0.25">
      <c r="A847" s="648"/>
      <c r="B847" s="648"/>
      <c r="C847" s="648"/>
      <c r="D847" s="649"/>
      <c r="E847" s="305">
        <f>SUMIF(Adjustments!A:A,A847,Adjustments!C:C)</f>
        <v>0</v>
      </c>
      <c r="F847" s="278">
        <f t="shared" si="12"/>
        <v>0</v>
      </c>
      <c r="G847" s="263" t="e">
        <v>#N/A</v>
      </c>
      <c r="H847" s="266" t="e">
        <f>VLOOKUP('Trial Balance'!$A847,'Code Allocation'!$A:$D,4,0)</f>
        <v>#N/A</v>
      </c>
      <c r="I847" s="267" t="e">
        <f>VLOOKUP('Trial Balance'!$A847,'Code Allocation'!$A:$E,5,0)</f>
        <v>#N/A</v>
      </c>
      <c r="J847" s="268" t="e">
        <f>VLOOKUP('Trial Balance'!$A847,'Code Allocation'!$A:$F,6,0)</f>
        <v>#N/A</v>
      </c>
    </row>
    <row r="848" spans="1:10" ht="15" hidden="1" customHeight="1" x14ac:dyDescent="0.25">
      <c r="A848" s="648"/>
      <c r="B848" s="648"/>
      <c r="C848" s="648"/>
      <c r="D848" s="649"/>
      <c r="E848" s="305">
        <f>SUMIF(Adjustments!A:A,A848,Adjustments!C:C)</f>
        <v>0</v>
      </c>
      <c r="F848" s="278">
        <f t="shared" si="12"/>
        <v>0</v>
      </c>
      <c r="G848" s="263" t="e">
        <v>#N/A</v>
      </c>
      <c r="H848" s="266" t="e">
        <f>VLOOKUP('Trial Balance'!$A848,'Code Allocation'!$A:$D,4,0)</f>
        <v>#N/A</v>
      </c>
      <c r="I848" s="267" t="e">
        <f>VLOOKUP('Trial Balance'!$A848,'Code Allocation'!$A:$E,5,0)</f>
        <v>#N/A</v>
      </c>
      <c r="J848" s="268" t="e">
        <f>VLOOKUP('Trial Balance'!$A848,'Code Allocation'!$A:$F,6,0)</f>
        <v>#N/A</v>
      </c>
    </row>
    <row r="849" spans="1:10" ht="15" hidden="1" customHeight="1" x14ac:dyDescent="0.25">
      <c r="A849" s="648"/>
      <c r="B849" s="648"/>
      <c r="C849" s="648"/>
      <c r="D849" s="649"/>
      <c r="E849" s="305">
        <f>SUMIF(Adjustments!A:A,A849,Adjustments!C:C)</f>
        <v>0</v>
      </c>
      <c r="F849" s="278">
        <f t="shared" si="12"/>
        <v>0</v>
      </c>
      <c r="G849" s="263" t="e">
        <v>#N/A</v>
      </c>
      <c r="H849" s="266" t="e">
        <f>VLOOKUP('Trial Balance'!$A849,'Code Allocation'!$A:$D,4,0)</f>
        <v>#N/A</v>
      </c>
      <c r="I849" s="267" t="e">
        <f>VLOOKUP('Trial Balance'!$A849,'Code Allocation'!$A:$E,5,0)</f>
        <v>#N/A</v>
      </c>
      <c r="J849" s="268" t="e">
        <f>VLOOKUP('Trial Balance'!$A849,'Code Allocation'!$A:$F,6,0)</f>
        <v>#N/A</v>
      </c>
    </row>
    <row r="850" spans="1:10" ht="15" hidden="1" customHeight="1" x14ac:dyDescent="0.25">
      <c r="A850" s="648"/>
      <c r="B850" s="648"/>
      <c r="C850" s="648"/>
      <c r="D850" s="649"/>
      <c r="E850" s="305">
        <f>SUMIF(Adjustments!A:A,A850,Adjustments!C:C)</f>
        <v>0</v>
      </c>
      <c r="F850" s="278">
        <f t="shared" si="12"/>
        <v>0</v>
      </c>
      <c r="G850" s="263" t="e">
        <v>#N/A</v>
      </c>
      <c r="H850" s="266" t="e">
        <f>VLOOKUP('Trial Balance'!$A850,'Code Allocation'!$A:$D,4,0)</f>
        <v>#N/A</v>
      </c>
      <c r="I850" s="267" t="e">
        <f>VLOOKUP('Trial Balance'!$A850,'Code Allocation'!$A:$E,5,0)</f>
        <v>#N/A</v>
      </c>
      <c r="J850" s="268" t="e">
        <f>VLOOKUP('Trial Balance'!$A850,'Code Allocation'!$A:$F,6,0)</f>
        <v>#N/A</v>
      </c>
    </row>
    <row r="851" spans="1:10" ht="15" hidden="1" customHeight="1" x14ac:dyDescent="0.25">
      <c r="A851" s="648"/>
      <c r="B851" s="648"/>
      <c r="C851" s="648"/>
      <c r="D851" s="648"/>
      <c r="E851" s="305">
        <f>SUMIF(Adjustments!A:A,A851,Adjustments!C:C)</f>
        <v>0</v>
      </c>
      <c r="F851" s="278">
        <f t="shared" si="12"/>
        <v>0</v>
      </c>
      <c r="G851" s="263" t="e">
        <v>#N/A</v>
      </c>
      <c r="H851" s="266" t="e">
        <f>VLOOKUP('Trial Balance'!$A851,'Code Allocation'!$A:$D,4,0)</f>
        <v>#N/A</v>
      </c>
      <c r="I851" s="267" t="e">
        <f>VLOOKUP('Trial Balance'!$A851,'Code Allocation'!$A:$E,5,0)</f>
        <v>#N/A</v>
      </c>
      <c r="J851" s="268" t="e">
        <f>VLOOKUP('Trial Balance'!$A851,'Code Allocation'!$A:$F,6,0)</f>
        <v>#N/A</v>
      </c>
    </row>
    <row r="852" spans="1:10" ht="15" hidden="1" customHeight="1" x14ac:dyDescent="0.25">
      <c r="A852" s="648"/>
      <c r="B852" s="648"/>
      <c r="C852" s="648"/>
      <c r="D852" s="649"/>
      <c r="E852" s="305">
        <f>SUMIF(Adjustments!A:A,A852,Adjustments!C:C)</f>
        <v>0</v>
      </c>
      <c r="F852" s="278">
        <f t="shared" si="12"/>
        <v>0</v>
      </c>
      <c r="G852" s="263" t="e">
        <v>#N/A</v>
      </c>
      <c r="H852" s="266" t="e">
        <f>VLOOKUP('Trial Balance'!$A852,'Code Allocation'!$A:$D,4,0)</f>
        <v>#N/A</v>
      </c>
      <c r="I852" s="267" t="e">
        <f>VLOOKUP('Trial Balance'!$A852,'Code Allocation'!$A:$E,5,0)</f>
        <v>#N/A</v>
      </c>
      <c r="J852" s="268" t="e">
        <f>VLOOKUP('Trial Balance'!$A852,'Code Allocation'!$A:$F,6,0)</f>
        <v>#N/A</v>
      </c>
    </row>
    <row r="853" spans="1:10" ht="15" hidden="1" customHeight="1" x14ac:dyDescent="0.25">
      <c r="A853" s="648"/>
      <c r="B853" s="648"/>
      <c r="C853" s="648"/>
      <c r="D853" s="649"/>
      <c r="E853" s="305">
        <f>SUMIF(Adjustments!A:A,A853,Adjustments!C:C)</f>
        <v>0</v>
      </c>
      <c r="F853" s="278">
        <f t="shared" si="12"/>
        <v>0</v>
      </c>
      <c r="G853" s="263" t="e">
        <v>#N/A</v>
      </c>
      <c r="H853" s="266" t="e">
        <f>VLOOKUP('Trial Balance'!$A853,'Code Allocation'!$A:$D,4,0)</f>
        <v>#N/A</v>
      </c>
      <c r="I853" s="267" t="e">
        <f>VLOOKUP('Trial Balance'!$A853,'Code Allocation'!$A:$E,5,0)</f>
        <v>#N/A</v>
      </c>
      <c r="J853" s="268" t="e">
        <f>VLOOKUP('Trial Balance'!$A853,'Code Allocation'!$A:$F,6,0)</f>
        <v>#N/A</v>
      </c>
    </row>
    <row r="854" spans="1:10" ht="15" hidden="1" customHeight="1" x14ac:dyDescent="0.25">
      <c r="A854" s="648"/>
      <c r="B854" s="648"/>
      <c r="C854" s="648"/>
      <c r="D854" s="649"/>
      <c r="E854" s="305">
        <f>SUMIF(Adjustments!A:A,A854,Adjustments!C:C)</f>
        <v>0</v>
      </c>
      <c r="F854" s="278">
        <f t="shared" si="12"/>
        <v>0</v>
      </c>
      <c r="G854" s="263" t="e">
        <v>#N/A</v>
      </c>
      <c r="H854" s="266" t="e">
        <f>VLOOKUP('Trial Balance'!$A854,'Code Allocation'!$A:$D,4,0)</f>
        <v>#N/A</v>
      </c>
      <c r="I854" s="267" t="e">
        <f>VLOOKUP('Trial Balance'!$A854,'Code Allocation'!$A:$E,5,0)</f>
        <v>#N/A</v>
      </c>
      <c r="J854" s="268" t="e">
        <f>VLOOKUP('Trial Balance'!$A854,'Code Allocation'!$A:$F,6,0)</f>
        <v>#N/A</v>
      </c>
    </row>
    <row r="855" spans="1:10" ht="15" hidden="1" customHeight="1" x14ac:dyDescent="0.25">
      <c r="A855" s="648"/>
      <c r="B855" s="648"/>
      <c r="C855" s="648"/>
      <c r="D855" s="649"/>
      <c r="E855" s="305">
        <f>SUMIF(Adjustments!A:A,A855,Adjustments!C:C)</f>
        <v>0</v>
      </c>
      <c r="F855" s="278">
        <f t="shared" si="12"/>
        <v>0</v>
      </c>
      <c r="G855" s="263" t="e">
        <v>#N/A</v>
      </c>
      <c r="H855" s="266" t="e">
        <f>VLOOKUP('Trial Balance'!$A855,'Code Allocation'!$A:$D,4,0)</f>
        <v>#N/A</v>
      </c>
      <c r="I855" s="267" t="e">
        <f>VLOOKUP('Trial Balance'!$A855,'Code Allocation'!$A:$E,5,0)</f>
        <v>#N/A</v>
      </c>
      <c r="J855" s="268" t="e">
        <f>VLOOKUP('Trial Balance'!$A855,'Code Allocation'!$A:$F,6,0)</f>
        <v>#N/A</v>
      </c>
    </row>
    <row r="856" spans="1:10" ht="15" hidden="1" customHeight="1" x14ac:dyDescent="0.25">
      <c r="A856" s="648"/>
      <c r="B856" s="648"/>
      <c r="C856" s="648"/>
      <c r="D856" s="648"/>
      <c r="E856" s="305">
        <f>SUMIF(Adjustments!A:A,A856,Adjustments!C:C)</f>
        <v>0</v>
      </c>
      <c r="F856" s="278">
        <f t="shared" si="12"/>
        <v>0</v>
      </c>
      <c r="G856" s="263" t="e">
        <v>#N/A</v>
      </c>
      <c r="H856" s="266" t="e">
        <f>VLOOKUP('Trial Balance'!$A856,'Code Allocation'!$A:$D,4,0)</f>
        <v>#N/A</v>
      </c>
      <c r="I856" s="267" t="e">
        <f>VLOOKUP('Trial Balance'!$A856,'Code Allocation'!$A:$E,5,0)</f>
        <v>#N/A</v>
      </c>
      <c r="J856" s="268" t="e">
        <f>VLOOKUP('Trial Balance'!$A856,'Code Allocation'!$A:$F,6,0)</f>
        <v>#N/A</v>
      </c>
    </row>
    <row r="857" spans="1:10" ht="15" hidden="1" customHeight="1" x14ac:dyDescent="0.25">
      <c r="A857" s="648"/>
      <c r="B857" s="648"/>
      <c r="C857" s="648"/>
      <c r="D857" s="649"/>
      <c r="E857" s="305">
        <f>SUMIF(Adjustments!A:A,A857,Adjustments!C:C)</f>
        <v>0</v>
      </c>
      <c r="F857" s="278">
        <f t="shared" si="12"/>
        <v>0</v>
      </c>
      <c r="G857" s="263" t="e">
        <v>#N/A</v>
      </c>
      <c r="H857" s="266" t="e">
        <f>VLOOKUP('Trial Balance'!$A857,'Code Allocation'!$A:$D,4,0)</f>
        <v>#N/A</v>
      </c>
      <c r="I857" s="267" t="e">
        <f>VLOOKUP('Trial Balance'!$A857,'Code Allocation'!$A:$E,5,0)</f>
        <v>#N/A</v>
      </c>
      <c r="J857" s="268" t="e">
        <f>VLOOKUP('Trial Balance'!$A857,'Code Allocation'!$A:$F,6,0)</f>
        <v>#N/A</v>
      </c>
    </row>
    <row r="858" spans="1:10" ht="15" hidden="1" customHeight="1" x14ac:dyDescent="0.25">
      <c r="A858" s="648"/>
      <c r="B858" s="648"/>
      <c r="C858" s="648"/>
      <c r="D858" s="649"/>
      <c r="E858" s="305">
        <f>SUMIF(Adjustments!A:A,A858,Adjustments!C:C)</f>
        <v>0</v>
      </c>
      <c r="F858" s="278">
        <f t="shared" si="12"/>
        <v>0</v>
      </c>
      <c r="G858" s="263" t="e">
        <v>#N/A</v>
      </c>
      <c r="H858" s="266" t="e">
        <f>VLOOKUP('Trial Balance'!$A858,'Code Allocation'!$A:$D,4,0)</f>
        <v>#N/A</v>
      </c>
      <c r="I858" s="267" t="e">
        <f>VLOOKUP('Trial Balance'!$A858,'Code Allocation'!$A:$E,5,0)</f>
        <v>#N/A</v>
      </c>
      <c r="J858" s="268" t="e">
        <f>VLOOKUP('Trial Balance'!$A858,'Code Allocation'!$A:$F,6,0)</f>
        <v>#N/A</v>
      </c>
    </row>
    <row r="859" spans="1:10" ht="15" hidden="1" customHeight="1" x14ac:dyDescent="0.25">
      <c r="A859" s="648"/>
      <c r="B859" s="648"/>
      <c r="C859" s="648"/>
      <c r="D859" s="649"/>
      <c r="E859" s="305">
        <f>SUMIF(Adjustments!A:A,A859,Adjustments!C:C)</f>
        <v>0</v>
      </c>
      <c r="F859" s="278">
        <f t="shared" si="12"/>
        <v>0</v>
      </c>
      <c r="G859" s="263" t="e">
        <v>#N/A</v>
      </c>
      <c r="H859" s="266" t="e">
        <f>VLOOKUP('Trial Balance'!$A859,'Code Allocation'!$A:$D,4,0)</f>
        <v>#N/A</v>
      </c>
      <c r="I859" s="267" t="e">
        <f>VLOOKUP('Trial Balance'!$A859,'Code Allocation'!$A:$E,5,0)</f>
        <v>#N/A</v>
      </c>
      <c r="J859" s="268" t="e">
        <f>VLOOKUP('Trial Balance'!$A859,'Code Allocation'!$A:$F,6,0)</f>
        <v>#N/A</v>
      </c>
    </row>
    <row r="860" spans="1:10" ht="15" hidden="1" customHeight="1" x14ac:dyDescent="0.25">
      <c r="A860" s="648"/>
      <c r="B860" s="648"/>
      <c r="C860" s="648"/>
      <c r="D860" s="648"/>
      <c r="E860" s="305">
        <f>SUMIF(Adjustments!A:A,A860,Adjustments!C:C)</f>
        <v>0</v>
      </c>
      <c r="F860" s="278">
        <f t="shared" si="12"/>
        <v>0</v>
      </c>
      <c r="G860" s="263" t="e">
        <v>#N/A</v>
      </c>
      <c r="H860" s="266" t="e">
        <f>VLOOKUP('Trial Balance'!$A860,'Code Allocation'!$A:$D,4,0)</f>
        <v>#N/A</v>
      </c>
      <c r="I860" s="267" t="e">
        <f>VLOOKUP('Trial Balance'!$A860,'Code Allocation'!$A:$E,5,0)</f>
        <v>#N/A</v>
      </c>
      <c r="J860" s="268" t="e">
        <f>VLOOKUP('Trial Balance'!$A860,'Code Allocation'!$A:$F,6,0)</f>
        <v>#N/A</v>
      </c>
    </row>
    <row r="861" spans="1:10" ht="15" hidden="1" customHeight="1" x14ac:dyDescent="0.25">
      <c r="A861" s="648"/>
      <c r="B861" s="648"/>
      <c r="C861" s="648"/>
      <c r="D861" s="649"/>
      <c r="E861" s="305">
        <f>SUMIF(Adjustments!A:A,A861,Adjustments!C:C)</f>
        <v>0</v>
      </c>
      <c r="F861" s="278">
        <f t="shared" si="12"/>
        <v>0</v>
      </c>
      <c r="G861" s="263" t="e">
        <v>#N/A</v>
      </c>
      <c r="H861" s="266" t="e">
        <f>VLOOKUP('Trial Balance'!$A861,'Code Allocation'!$A:$D,4,0)</f>
        <v>#N/A</v>
      </c>
      <c r="I861" s="267" t="e">
        <f>VLOOKUP('Trial Balance'!$A861,'Code Allocation'!$A:$E,5,0)</f>
        <v>#N/A</v>
      </c>
      <c r="J861" s="268" t="e">
        <f>VLOOKUP('Trial Balance'!$A861,'Code Allocation'!$A:$F,6,0)</f>
        <v>#N/A</v>
      </c>
    </row>
    <row r="862" spans="1:10" ht="15" hidden="1" customHeight="1" x14ac:dyDescent="0.25">
      <c r="A862" s="648"/>
      <c r="B862" s="648"/>
      <c r="C862" s="648"/>
      <c r="D862" s="649"/>
      <c r="E862" s="305">
        <f>SUMIF(Adjustments!A:A,A862,Adjustments!C:C)</f>
        <v>0</v>
      </c>
      <c r="F862" s="278">
        <f t="shared" si="12"/>
        <v>0</v>
      </c>
      <c r="G862" s="263" t="e">
        <v>#N/A</v>
      </c>
      <c r="H862" s="266" t="e">
        <f>VLOOKUP('Trial Balance'!$A862,'Code Allocation'!$A:$D,4,0)</f>
        <v>#N/A</v>
      </c>
      <c r="I862" s="267" t="e">
        <f>VLOOKUP('Trial Balance'!$A862,'Code Allocation'!$A:$E,5,0)</f>
        <v>#N/A</v>
      </c>
      <c r="J862" s="268" t="e">
        <f>VLOOKUP('Trial Balance'!$A862,'Code Allocation'!$A:$F,6,0)</f>
        <v>#N/A</v>
      </c>
    </row>
    <row r="863" spans="1:10" ht="15" hidden="1" customHeight="1" x14ac:dyDescent="0.25">
      <c r="A863" s="648"/>
      <c r="B863" s="648"/>
      <c r="C863" s="648"/>
      <c r="D863" s="649"/>
      <c r="E863" s="305">
        <f>SUMIF(Adjustments!A:A,A863,Adjustments!C:C)</f>
        <v>0</v>
      </c>
      <c r="F863" s="278">
        <f t="shared" si="12"/>
        <v>0</v>
      </c>
      <c r="G863" s="263" t="e">
        <v>#N/A</v>
      </c>
      <c r="H863" s="266" t="e">
        <f>VLOOKUP('Trial Balance'!$A863,'Code Allocation'!$A:$D,4,0)</f>
        <v>#N/A</v>
      </c>
      <c r="I863" s="267" t="e">
        <f>VLOOKUP('Trial Balance'!$A863,'Code Allocation'!$A:$E,5,0)</f>
        <v>#N/A</v>
      </c>
      <c r="J863" s="268" t="e">
        <f>VLOOKUP('Trial Balance'!$A863,'Code Allocation'!$A:$F,6,0)</f>
        <v>#N/A</v>
      </c>
    </row>
    <row r="864" spans="1:10" ht="15" hidden="1" customHeight="1" x14ac:dyDescent="0.25">
      <c r="A864" s="648"/>
      <c r="B864" s="648"/>
      <c r="C864" s="648"/>
      <c r="D864" s="649"/>
      <c r="E864" s="305">
        <f>SUMIF(Adjustments!A:A,A864,Adjustments!C:C)</f>
        <v>0</v>
      </c>
      <c r="F864" s="278">
        <f t="shared" si="12"/>
        <v>0</v>
      </c>
      <c r="G864" s="263" t="e">
        <v>#N/A</v>
      </c>
      <c r="H864" s="266" t="e">
        <f>VLOOKUP('Trial Balance'!$A864,'Code Allocation'!$A:$D,4,0)</f>
        <v>#N/A</v>
      </c>
      <c r="I864" s="267" t="e">
        <f>VLOOKUP('Trial Balance'!$A864,'Code Allocation'!$A:$E,5,0)</f>
        <v>#N/A</v>
      </c>
      <c r="J864" s="268" t="e">
        <f>VLOOKUP('Trial Balance'!$A864,'Code Allocation'!$A:$F,6,0)</f>
        <v>#N/A</v>
      </c>
    </row>
    <row r="865" spans="1:10" ht="15" hidden="1" customHeight="1" x14ac:dyDescent="0.25">
      <c r="A865" s="648"/>
      <c r="B865" s="648"/>
      <c r="C865" s="649"/>
      <c r="D865" s="648"/>
      <c r="E865" s="305">
        <f>SUMIF(Adjustments!A:A,A865,Adjustments!C:C)</f>
        <v>0</v>
      </c>
      <c r="F865" s="278">
        <f t="shared" si="12"/>
        <v>0</v>
      </c>
      <c r="G865" s="263" t="e">
        <v>#N/A</v>
      </c>
      <c r="H865" s="266" t="e">
        <f>VLOOKUP('Trial Balance'!$A865,'Code Allocation'!$A:$D,4,0)</f>
        <v>#N/A</v>
      </c>
      <c r="I865" s="267" t="e">
        <f>VLOOKUP('Trial Balance'!$A865,'Code Allocation'!$A:$E,5,0)</f>
        <v>#N/A</v>
      </c>
      <c r="J865" s="268" t="e">
        <f>VLOOKUP('Trial Balance'!$A865,'Code Allocation'!$A:$F,6,0)</f>
        <v>#N/A</v>
      </c>
    </row>
    <row r="866" spans="1:10" ht="15" hidden="1" customHeight="1" x14ac:dyDescent="0.25">
      <c r="A866" s="648"/>
      <c r="B866" s="648"/>
      <c r="C866" s="648"/>
      <c r="D866" s="649"/>
      <c r="E866" s="305">
        <f>SUMIF(Adjustments!A:A,A866,Adjustments!C:C)</f>
        <v>0</v>
      </c>
      <c r="F866" s="278">
        <f t="shared" si="12"/>
        <v>0</v>
      </c>
      <c r="G866" s="263" t="e">
        <v>#N/A</v>
      </c>
      <c r="H866" s="266" t="e">
        <f>VLOOKUP('Trial Balance'!$A866,'Code Allocation'!$A:$D,4,0)</f>
        <v>#N/A</v>
      </c>
      <c r="I866" s="267" t="e">
        <f>VLOOKUP('Trial Balance'!$A866,'Code Allocation'!$A:$E,5,0)</f>
        <v>#N/A</v>
      </c>
      <c r="J866" s="268" t="e">
        <f>VLOOKUP('Trial Balance'!$A866,'Code Allocation'!$A:$F,6,0)</f>
        <v>#N/A</v>
      </c>
    </row>
    <row r="867" spans="1:10" ht="15" hidden="1" customHeight="1" x14ac:dyDescent="0.25">
      <c r="A867" s="648"/>
      <c r="B867" s="648"/>
      <c r="C867" s="649"/>
      <c r="D867" s="648"/>
      <c r="E867" s="305">
        <f>SUMIF(Adjustments!A:A,A867,Adjustments!C:C)</f>
        <v>0</v>
      </c>
      <c r="F867" s="278">
        <f t="shared" si="12"/>
        <v>0</v>
      </c>
      <c r="G867" s="263" t="e">
        <v>#N/A</v>
      </c>
      <c r="H867" s="266" t="e">
        <f>VLOOKUP('Trial Balance'!$A867,'Code Allocation'!$A:$D,4,0)</f>
        <v>#N/A</v>
      </c>
      <c r="I867" s="267" t="e">
        <f>VLOOKUP('Trial Balance'!$A867,'Code Allocation'!$A:$E,5,0)</f>
        <v>#N/A</v>
      </c>
      <c r="J867" s="268" t="e">
        <f>VLOOKUP('Trial Balance'!$A867,'Code Allocation'!$A:$F,6,0)</f>
        <v>#N/A</v>
      </c>
    </row>
    <row r="868" spans="1:10" ht="12.75" hidden="1" customHeight="1" x14ac:dyDescent="0.25">
      <c r="E868" s="305">
        <f>SUMIF(Adjustments!A:A,A868,Adjustments!C:C)</f>
        <v>0</v>
      </c>
      <c r="F868" s="278">
        <f t="shared" si="12"/>
        <v>0</v>
      </c>
      <c r="G868" s="263" t="e">
        <v>#N/A</v>
      </c>
      <c r="H868" s="266" t="e">
        <f>VLOOKUP('Trial Balance'!$A868,'Code Allocation'!$A:$D,4,0)</f>
        <v>#N/A</v>
      </c>
      <c r="I868" s="267" t="e">
        <f>VLOOKUP('Trial Balance'!$A868,'Code Allocation'!$A:$E,5,0)</f>
        <v>#N/A</v>
      </c>
      <c r="J868" s="268" t="e">
        <f>VLOOKUP('Trial Balance'!$A868,'Code Allocation'!$A:$F,6,0)</f>
        <v>#N/A</v>
      </c>
    </row>
    <row r="869" spans="1:10" ht="12.75" hidden="1" customHeight="1" x14ac:dyDescent="0.25">
      <c r="E869" s="305">
        <f>SUMIF(Adjustments!A:A,A869,Adjustments!C:C)</f>
        <v>0</v>
      </c>
      <c r="F869" s="278">
        <f t="shared" si="12"/>
        <v>0</v>
      </c>
      <c r="G869" s="263" t="e">
        <v>#N/A</v>
      </c>
      <c r="H869" s="266" t="e">
        <f>VLOOKUP('Trial Balance'!$A869,'Code Allocation'!$A:$D,4,0)</f>
        <v>#N/A</v>
      </c>
      <c r="I869" s="267" t="e">
        <f>VLOOKUP('Trial Balance'!$A869,'Code Allocation'!$A:$E,5,0)</f>
        <v>#N/A</v>
      </c>
      <c r="J869" s="268" t="e">
        <f>VLOOKUP('Trial Balance'!$A869,'Code Allocation'!$A:$F,6,0)</f>
        <v>#N/A</v>
      </c>
    </row>
    <row r="870" spans="1:10" ht="12.75" hidden="1" customHeight="1" x14ac:dyDescent="0.25">
      <c r="E870" s="305">
        <f>SUMIF(Adjustments!A:A,A870,Adjustments!C:C)</f>
        <v>0</v>
      </c>
      <c r="F870" s="278">
        <f t="shared" si="12"/>
        <v>0</v>
      </c>
      <c r="G870" s="263" t="e">
        <v>#N/A</v>
      </c>
      <c r="H870" s="266" t="e">
        <f>VLOOKUP('Trial Balance'!$A870,'Code Allocation'!$A:$D,4,0)</f>
        <v>#N/A</v>
      </c>
      <c r="I870" s="267" t="e">
        <f>VLOOKUP('Trial Balance'!$A870,'Code Allocation'!$A:$E,5,0)</f>
        <v>#N/A</v>
      </c>
      <c r="J870" s="268" t="e">
        <f>VLOOKUP('Trial Balance'!$A870,'Code Allocation'!$A:$F,6,0)</f>
        <v>#N/A</v>
      </c>
    </row>
    <row r="871" spans="1:10" ht="12.75" hidden="1" customHeight="1" x14ac:dyDescent="0.25">
      <c r="E871" s="305">
        <f>SUMIF(Adjustments!A:A,A871,Adjustments!C:C)</f>
        <v>0</v>
      </c>
      <c r="F871" s="278">
        <f t="shared" si="12"/>
        <v>0</v>
      </c>
      <c r="G871" s="263" t="e">
        <v>#N/A</v>
      </c>
      <c r="H871" s="266" t="e">
        <f>VLOOKUP('Trial Balance'!$A871,'Code Allocation'!$A:$D,4,0)</f>
        <v>#N/A</v>
      </c>
      <c r="I871" s="267" t="e">
        <f>VLOOKUP('Trial Balance'!$A871,'Code Allocation'!$A:$E,5,0)</f>
        <v>#N/A</v>
      </c>
      <c r="J871" s="268" t="e">
        <f>VLOOKUP('Trial Balance'!$A871,'Code Allocation'!$A:$F,6,0)</f>
        <v>#N/A</v>
      </c>
    </row>
    <row r="872" spans="1:10" ht="12.75" hidden="1" customHeight="1" x14ac:dyDescent="0.25">
      <c r="E872" s="305">
        <f>SUMIF(Adjustments!A:A,A872,Adjustments!C:C)</f>
        <v>0</v>
      </c>
      <c r="F872" s="278">
        <f t="shared" si="12"/>
        <v>0</v>
      </c>
      <c r="G872" s="263" t="e">
        <v>#N/A</v>
      </c>
      <c r="H872" s="266" t="e">
        <f>VLOOKUP('Trial Balance'!$A872,'Code Allocation'!$A:$D,4,0)</f>
        <v>#N/A</v>
      </c>
      <c r="I872" s="267" t="e">
        <f>VLOOKUP('Trial Balance'!$A872,'Code Allocation'!$A:$E,5,0)</f>
        <v>#N/A</v>
      </c>
      <c r="J872" s="268" t="e">
        <f>VLOOKUP('Trial Balance'!$A872,'Code Allocation'!$A:$F,6,0)</f>
        <v>#N/A</v>
      </c>
    </row>
    <row r="873" spans="1:10" ht="12.75" hidden="1" customHeight="1" x14ac:dyDescent="0.25">
      <c r="E873" s="305">
        <f>SUMIF(Adjustments!A:A,A873,Adjustments!C:C)</f>
        <v>0</v>
      </c>
      <c r="F873" s="278">
        <f t="shared" si="12"/>
        <v>0</v>
      </c>
      <c r="G873" s="263" t="e">
        <v>#N/A</v>
      </c>
      <c r="H873" s="266" t="e">
        <f>VLOOKUP('Trial Balance'!$A873,'Code Allocation'!$A:$D,4,0)</f>
        <v>#N/A</v>
      </c>
      <c r="I873" s="267" t="e">
        <f>VLOOKUP('Trial Balance'!$A873,'Code Allocation'!$A:$E,5,0)</f>
        <v>#N/A</v>
      </c>
      <c r="J873" s="268" t="e">
        <f>VLOOKUP('Trial Balance'!$A873,'Code Allocation'!$A:$F,6,0)</f>
        <v>#N/A</v>
      </c>
    </row>
    <row r="874" spans="1:10" ht="12.75" hidden="1" customHeight="1" x14ac:dyDescent="0.25">
      <c r="E874" s="305">
        <f>SUMIF(Adjustments!A:A,A874,Adjustments!C:C)</f>
        <v>0</v>
      </c>
      <c r="F874" s="278">
        <f t="shared" si="12"/>
        <v>0</v>
      </c>
      <c r="G874" s="263" t="e">
        <v>#N/A</v>
      </c>
      <c r="H874" s="266" t="e">
        <f>VLOOKUP('Trial Balance'!$A874,'Code Allocation'!$A:$D,4,0)</f>
        <v>#N/A</v>
      </c>
      <c r="I874" s="267" t="e">
        <f>VLOOKUP('Trial Balance'!$A874,'Code Allocation'!$A:$E,5,0)</f>
        <v>#N/A</v>
      </c>
      <c r="J874" s="268" t="e">
        <f>VLOOKUP('Trial Balance'!$A874,'Code Allocation'!$A:$F,6,0)</f>
        <v>#N/A</v>
      </c>
    </row>
    <row r="875" spans="1:10" ht="12.75" hidden="1" customHeight="1" x14ac:dyDescent="0.25">
      <c r="E875" s="305">
        <f>SUMIF(Adjustments!A:A,A875,Adjustments!C:C)</f>
        <v>0</v>
      </c>
      <c r="F875" s="278">
        <f t="shared" si="12"/>
        <v>0</v>
      </c>
      <c r="G875" s="263" t="e">
        <v>#N/A</v>
      </c>
      <c r="H875" s="266" t="e">
        <f>VLOOKUP('Trial Balance'!$A875,'Code Allocation'!$A:$D,4,0)</f>
        <v>#N/A</v>
      </c>
      <c r="I875" s="267" t="e">
        <f>VLOOKUP('Trial Balance'!$A875,'Code Allocation'!$A:$E,5,0)</f>
        <v>#N/A</v>
      </c>
      <c r="J875" s="268" t="e">
        <f>VLOOKUP('Trial Balance'!$A875,'Code Allocation'!$A:$F,6,0)</f>
        <v>#N/A</v>
      </c>
    </row>
    <row r="876" spans="1:10" ht="12.75" hidden="1" customHeight="1" x14ac:dyDescent="0.25">
      <c r="E876" s="305">
        <f>SUMIF(Adjustments!A:A,A876,Adjustments!C:C)</f>
        <v>0</v>
      </c>
      <c r="F876" s="278">
        <f t="shared" ref="F876:F939" si="13">C876-D876+E876</f>
        <v>0</v>
      </c>
      <c r="G876" s="263" t="e">
        <v>#N/A</v>
      </c>
      <c r="H876" s="266" t="e">
        <f>VLOOKUP('Trial Balance'!$A876,'Code Allocation'!$A:$D,4,0)</f>
        <v>#N/A</v>
      </c>
      <c r="I876" s="267" t="e">
        <f>VLOOKUP('Trial Balance'!$A876,'Code Allocation'!$A:$E,5,0)</f>
        <v>#N/A</v>
      </c>
      <c r="J876" s="268" t="e">
        <f>VLOOKUP('Trial Balance'!$A876,'Code Allocation'!$A:$F,6,0)</f>
        <v>#N/A</v>
      </c>
    </row>
    <row r="877" spans="1:10" ht="12.75" hidden="1" customHeight="1" x14ac:dyDescent="0.25">
      <c r="E877" s="305">
        <f>SUMIF(Adjustments!A:A,A877,Adjustments!C:C)</f>
        <v>0</v>
      </c>
      <c r="F877" s="278">
        <f t="shared" si="13"/>
        <v>0</v>
      </c>
      <c r="G877" s="263" t="e">
        <v>#N/A</v>
      </c>
      <c r="H877" s="266" t="e">
        <f>VLOOKUP('Trial Balance'!$A877,'Code Allocation'!$A:$D,4,0)</f>
        <v>#N/A</v>
      </c>
      <c r="I877" s="267" t="e">
        <f>VLOOKUP('Trial Balance'!$A877,'Code Allocation'!$A:$E,5,0)</f>
        <v>#N/A</v>
      </c>
      <c r="J877" s="268" t="e">
        <f>VLOOKUP('Trial Balance'!$A877,'Code Allocation'!$A:$F,6,0)</f>
        <v>#N/A</v>
      </c>
    </row>
    <row r="878" spans="1:10" ht="12.75" hidden="1" customHeight="1" x14ac:dyDescent="0.25">
      <c r="E878" s="305">
        <f>SUMIF(Adjustments!A:A,A878,Adjustments!C:C)</f>
        <v>0</v>
      </c>
      <c r="F878" s="278">
        <f t="shared" si="13"/>
        <v>0</v>
      </c>
      <c r="G878" s="263" t="e">
        <v>#N/A</v>
      </c>
      <c r="H878" s="266" t="e">
        <f>VLOOKUP('Trial Balance'!$A878,'Code Allocation'!$A:$D,4,0)</f>
        <v>#N/A</v>
      </c>
      <c r="I878" s="267" t="e">
        <f>VLOOKUP('Trial Balance'!$A878,'Code Allocation'!$A:$E,5,0)</f>
        <v>#N/A</v>
      </c>
      <c r="J878" s="268" t="e">
        <f>VLOOKUP('Trial Balance'!$A878,'Code Allocation'!$A:$F,6,0)</f>
        <v>#N/A</v>
      </c>
    </row>
    <row r="879" spans="1:10" ht="12.75" hidden="1" customHeight="1" x14ac:dyDescent="0.25">
      <c r="E879" s="305">
        <f>SUMIF(Adjustments!A:A,A879,Adjustments!C:C)</f>
        <v>0</v>
      </c>
      <c r="F879" s="278">
        <f t="shared" si="13"/>
        <v>0</v>
      </c>
      <c r="G879" s="263" t="e">
        <v>#N/A</v>
      </c>
      <c r="H879" s="266" t="e">
        <f>VLOOKUP('Trial Balance'!$A879,'Code Allocation'!$A:$D,4,0)</f>
        <v>#N/A</v>
      </c>
      <c r="I879" s="267" t="e">
        <f>VLOOKUP('Trial Balance'!$A879,'Code Allocation'!$A:$E,5,0)</f>
        <v>#N/A</v>
      </c>
      <c r="J879" s="268" t="e">
        <f>VLOOKUP('Trial Balance'!$A879,'Code Allocation'!$A:$F,6,0)</f>
        <v>#N/A</v>
      </c>
    </row>
    <row r="880" spans="1:10" ht="12.75" hidden="1" customHeight="1" x14ac:dyDescent="0.25">
      <c r="E880" s="305">
        <f>SUMIF(Adjustments!A:A,A880,Adjustments!C:C)</f>
        <v>0</v>
      </c>
      <c r="F880" s="278">
        <f t="shared" si="13"/>
        <v>0</v>
      </c>
      <c r="G880" s="263" t="e">
        <v>#N/A</v>
      </c>
      <c r="H880" s="266" t="e">
        <f>VLOOKUP('Trial Balance'!$A880,'Code Allocation'!$A:$D,4,0)</f>
        <v>#N/A</v>
      </c>
      <c r="I880" s="267" t="e">
        <f>VLOOKUP('Trial Balance'!$A880,'Code Allocation'!$A:$E,5,0)</f>
        <v>#N/A</v>
      </c>
      <c r="J880" s="268" t="e">
        <f>VLOOKUP('Trial Balance'!$A880,'Code Allocation'!$A:$F,6,0)</f>
        <v>#N/A</v>
      </c>
    </row>
    <row r="881" spans="5:10" ht="12.75" hidden="1" customHeight="1" x14ac:dyDescent="0.25">
      <c r="E881" s="305">
        <f>SUMIF(Adjustments!A:A,A881,Adjustments!C:C)</f>
        <v>0</v>
      </c>
      <c r="F881" s="278">
        <f t="shared" si="13"/>
        <v>0</v>
      </c>
      <c r="G881" s="263" t="e">
        <v>#N/A</v>
      </c>
      <c r="H881" s="266" t="e">
        <f>VLOOKUP('Trial Balance'!$A881,'Code Allocation'!$A:$D,4,0)</f>
        <v>#N/A</v>
      </c>
      <c r="I881" s="267" t="e">
        <f>VLOOKUP('Trial Balance'!$A881,'Code Allocation'!$A:$E,5,0)</f>
        <v>#N/A</v>
      </c>
      <c r="J881" s="268" t="e">
        <f>VLOOKUP('Trial Balance'!$A881,'Code Allocation'!$A:$F,6,0)</f>
        <v>#N/A</v>
      </c>
    </row>
    <row r="882" spans="5:10" ht="12.75" hidden="1" customHeight="1" x14ac:dyDescent="0.25">
      <c r="E882" s="305">
        <f>SUMIF(Adjustments!A:A,A882,Adjustments!C:C)</f>
        <v>0</v>
      </c>
      <c r="F882" s="278">
        <f t="shared" si="13"/>
        <v>0</v>
      </c>
      <c r="G882" s="263" t="e">
        <v>#N/A</v>
      </c>
      <c r="H882" s="266" t="e">
        <f>VLOOKUP('Trial Balance'!$A882,'Code Allocation'!$A:$D,4,0)</f>
        <v>#N/A</v>
      </c>
      <c r="I882" s="267" t="e">
        <f>VLOOKUP('Trial Balance'!$A882,'Code Allocation'!$A:$E,5,0)</f>
        <v>#N/A</v>
      </c>
      <c r="J882" s="268" t="e">
        <f>VLOOKUP('Trial Balance'!$A882,'Code Allocation'!$A:$F,6,0)</f>
        <v>#N/A</v>
      </c>
    </row>
    <row r="883" spans="5:10" ht="12.75" hidden="1" customHeight="1" x14ac:dyDescent="0.25">
      <c r="E883" s="305">
        <f>SUMIF(Adjustments!A:A,A883,Adjustments!C:C)</f>
        <v>0</v>
      </c>
      <c r="F883" s="278">
        <f t="shared" si="13"/>
        <v>0</v>
      </c>
      <c r="G883" s="263" t="e">
        <v>#N/A</v>
      </c>
      <c r="H883" s="266" t="e">
        <f>VLOOKUP('Trial Balance'!$A883,'Code Allocation'!$A:$D,4,0)</f>
        <v>#N/A</v>
      </c>
      <c r="I883" s="267" t="e">
        <f>VLOOKUP('Trial Balance'!$A883,'Code Allocation'!$A:$E,5,0)</f>
        <v>#N/A</v>
      </c>
      <c r="J883" s="268" t="e">
        <f>VLOOKUP('Trial Balance'!$A883,'Code Allocation'!$A:$F,6,0)</f>
        <v>#N/A</v>
      </c>
    </row>
    <row r="884" spans="5:10" ht="12.75" hidden="1" customHeight="1" x14ac:dyDescent="0.25">
      <c r="E884" s="305">
        <f>SUMIF(Adjustments!A:A,A884,Adjustments!C:C)</f>
        <v>0</v>
      </c>
      <c r="F884" s="278">
        <f t="shared" si="13"/>
        <v>0</v>
      </c>
      <c r="G884" s="263" t="e">
        <v>#N/A</v>
      </c>
      <c r="H884" s="266" t="e">
        <f>VLOOKUP('Trial Balance'!$A884,'Code Allocation'!$A:$D,4,0)</f>
        <v>#N/A</v>
      </c>
      <c r="I884" s="267" t="e">
        <f>VLOOKUP('Trial Balance'!$A884,'Code Allocation'!$A:$E,5,0)</f>
        <v>#N/A</v>
      </c>
      <c r="J884" s="268" t="e">
        <f>VLOOKUP('Trial Balance'!$A884,'Code Allocation'!$A:$F,6,0)</f>
        <v>#N/A</v>
      </c>
    </row>
    <row r="885" spans="5:10" ht="12.75" hidden="1" customHeight="1" x14ac:dyDescent="0.25">
      <c r="E885" s="305">
        <f>SUMIF(Adjustments!A:A,A885,Adjustments!C:C)</f>
        <v>0</v>
      </c>
      <c r="F885" s="278">
        <f t="shared" si="13"/>
        <v>0</v>
      </c>
      <c r="G885" s="263" t="e">
        <v>#N/A</v>
      </c>
      <c r="H885" s="266" t="e">
        <f>VLOOKUP('Trial Balance'!$A885,'Code Allocation'!$A:$D,4,0)</f>
        <v>#N/A</v>
      </c>
      <c r="I885" s="267" t="e">
        <f>VLOOKUP('Trial Balance'!$A885,'Code Allocation'!$A:$E,5,0)</f>
        <v>#N/A</v>
      </c>
      <c r="J885" s="268" t="e">
        <f>VLOOKUP('Trial Balance'!$A885,'Code Allocation'!$A:$F,6,0)</f>
        <v>#N/A</v>
      </c>
    </row>
    <row r="886" spans="5:10" ht="12.75" hidden="1" customHeight="1" x14ac:dyDescent="0.25">
      <c r="E886" s="305">
        <f>SUMIF(Adjustments!A:A,A886,Adjustments!C:C)</f>
        <v>0</v>
      </c>
      <c r="F886" s="278">
        <f t="shared" si="13"/>
        <v>0</v>
      </c>
      <c r="G886" s="263" t="e">
        <v>#N/A</v>
      </c>
      <c r="H886" s="266" t="e">
        <f>VLOOKUP('Trial Balance'!$A886,'Code Allocation'!$A:$D,4,0)</f>
        <v>#N/A</v>
      </c>
      <c r="I886" s="267" t="e">
        <f>VLOOKUP('Trial Balance'!$A886,'Code Allocation'!$A:$E,5,0)</f>
        <v>#N/A</v>
      </c>
      <c r="J886" s="268" t="e">
        <f>VLOOKUP('Trial Balance'!$A886,'Code Allocation'!$A:$F,6,0)</f>
        <v>#N/A</v>
      </c>
    </row>
    <row r="887" spans="5:10" ht="12.75" hidden="1" customHeight="1" x14ac:dyDescent="0.25">
      <c r="E887" s="305">
        <f>SUMIF(Adjustments!A:A,A887,Adjustments!C:C)</f>
        <v>0</v>
      </c>
      <c r="F887" s="278">
        <f t="shared" si="13"/>
        <v>0</v>
      </c>
      <c r="G887" s="263" t="e">
        <v>#N/A</v>
      </c>
      <c r="H887" s="266" t="e">
        <f>VLOOKUP('Trial Balance'!$A887,'Code Allocation'!$A:$D,4,0)</f>
        <v>#N/A</v>
      </c>
      <c r="I887" s="267" t="e">
        <f>VLOOKUP('Trial Balance'!$A887,'Code Allocation'!$A:$E,5,0)</f>
        <v>#N/A</v>
      </c>
      <c r="J887" s="268" t="e">
        <f>VLOOKUP('Trial Balance'!$A887,'Code Allocation'!$A:$F,6,0)</f>
        <v>#N/A</v>
      </c>
    </row>
    <row r="888" spans="5:10" ht="12.75" hidden="1" customHeight="1" x14ac:dyDescent="0.25">
      <c r="E888" s="305">
        <f>SUMIF(Adjustments!A:A,A888,Adjustments!C:C)</f>
        <v>0</v>
      </c>
      <c r="F888" s="278">
        <f t="shared" si="13"/>
        <v>0</v>
      </c>
      <c r="G888" s="263" t="e">
        <v>#N/A</v>
      </c>
      <c r="H888" s="266" t="e">
        <f>VLOOKUP('Trial Balance'!$A888,'Code Allocation'!$A:$D,4,0)</f>
        <v>#N/A</v>
      </c>
      <c r="I888" s="267" t="e">
        <f>VLOOKUP('Trial Balance'!$A888,'Code Allocation'!$A:$E,5,0)</f>
        <v>#N/A</v>
      </c>
      <c r="J888" s="268" t="e">
        <f>VLOOKUP('Trial Balance'!$A888,'Code Allocation'!$A:$F,6,0)</f>
        <v>#N/A</v>
      </c>
    </row>
    <row r="889" spans="5:10" ht="12.75" hidden="1" customHeight="1" x14ac:dyDescent="0.25">
      <c r="E889" s="305">
        <f>SUMIF(Adjustments!A:A,A889,Adjustments!C:C)</f>
        <v>0</v>
      </c>
      <c r="F889" s="278">
        <f t="shared" si="13"/>
        <v>0</v>
      </c>
      <c r="G889" s="263" t="e">
        <v>#N/A</v>
      </c>
      <c r="H889" s="266" t="e">
        <f>VLOOKUP('Trial Balance'!$A889,'Code Allocation'!$A:$D,4,0)</f>
        <v>#N/A</v>
      </c>
      <c r="I889" s="267" t="e">
        <f>VLOOKUP('Trial Balance'!$A889,'Code Allocation'!$A:$E,5,0)</f>
        <v>#N/A</v>
      </c>
      <c r="J889" s="268" t="e">
        <f>VLOOKUP('Trial Balance'!$A889,'Code Allocation'!$A:$F,6,0)</f>
        <v>#N/A</v>
      </c>
    </row>
    <row r="890" spans="5:10" ht="12.75" hidden="1" customHeight="1" x14ac:dyDescent="0.25">
      <c r="E890" s="305">
        <f>SUMIF(Adjustments!A:A,A890,Adjustments!C:C)</f>
        <v>0</v>
      </c>
      <c r="F890" s="278">
        <f t="shared" si="13"/>
        <v>0</v>
      </c>
      <c r="G890" s="263" t="e">
        <v>#N/A</v>
      </c>
      <c r="H890" s="266" t="e">
        <f>VLOOKUP('Trial Balance'!$A890,'Code Allocation'!$A:$D,4,0)</f>
        <v>#N/A</v>
      </c>
      <c r="I890" s="267" t="e">
        <f>VLOOKUP('Trial Balance'!$A890,'Code Allocation'!$A:$E,5,0)</f>
        <v>#N/A</v>
      </c>
      <c r="J890" s="268" t="e">
        <f>VLOOKUP('Trial Balance'!$A890,'Code Allocation'!$A:$F,6,0)</f>
        <v>#N/A</v>
      </c>
    </row>
    <row r="891" spans="5:10" ht="12.75" hidden="1" customHeight="1" x14ac:dyDescent="0.25">
      <c r="E891" s="305">
        <f>SUMIF(Adjustments!A:A,A891,Adjustments!C:C)</f>
        <v>0</v>
      </c>
      <c r="F891" s="278">
        <f t="shared" si="13"/>
        <v>0</v>
      </c>
      <c r="G891" s="263" t="e">
        <v>#N/A</v>
      </c>
      <c r="H891" s="266" t="e">
        <f>VLOOKUP('Trial Balance'!$A891,'Code Allocation'!$A:$D,4,0)</f>
        <v>#N/A</v>
      </c>
      <c r="I891" s="267" t="e">
        <f>VLOOKUP('Trial Balance'!$A891,'Code Allocation'!$A:$E,5,0)</f>
        <v>#N/A</v>
      </c>
      <c r="J891" s="268" t="e">
        <f>VLOOKUP('Trial Balance'!$A891,'Code Allocation'!$A:$F,6,0)</f>
        <v>#N/A</v>
      </c>
    </row>
    <row r="892" spans="5:10" ht="12.75" hidden="1" customHeight="1" x14ac:dyDescent="0.25">
      <c r="E892" s="305">
        <f>SUMIF(Adjustments!A:A,A892,Adjustments!C:C)</f>
        <v>0</v>
      </c>
      <c r="F892" s="278">
        <f t="shared" si="13"/>
        <v>0</v>
      </c>
      <c r="G892" s="263" t="e">
        <v>#N/A</v>
      </c>
      <c r="H892" s="266" t="e">
        <f>VLOOKUP('Trial Balance'!$A892,'Code Allocation'!$A:$D,4,0)</f>
        <v>#N/A</v>
      </c>
      <c r="I892" s="267" t="e">
        <f>VLOOKUP('Trial Balance'!$A892,'Code Allocation'!$A:$E,5,0)</f>
        <v>#N/A</v>
      </c>
      <c r="J892" s="268" t="e">
        <f>VLOOKUP('Trial Balance'!$A892,'Code Allocation'!$A:$F,6,0)</f>
        <v>#N/A</v>
      </c>
    </row>
    <row r="893" spans="5:10" ht="12.75" hidden="1" customHeight="1" x14ac:dyDescent="0.25">
      <c r="E893" s="305">
        <f>SUMIF(Adjustments!A:A,A893,Adjustments!C:C)</f>
        <v>0</v>
      </c>
      <c r="F893" s="278">
        <f t="shared" si="13"/>
        <v>0</v>
      </c>
      <c r="G893" s="263" t="e">
        <v>#N/A</v>
      </c>
      <c r="H893" s="266" t="e">
        <f>VLOOKUP('Trial Balance'!$A893,'Code Allocation'!$A:$D,4,0)</f>
        <v>#N/A</v>
      </c>
      <c r="I893" s="267" t="e">
        <f>VLOOKUP('Trial Balance'!$A893,'Code Allocation'!$A:$E,5,0)</f>
        <v>#N/A</v>
      </c>
      <c r="J893" s="268" t="e">
        <f>VLOOKUP('Trial Balance'!$A893,'Code Allocation'!$A:$F,6,0)</f>
        <v>#N/A</v>
      </c>
    </row>
    <row r="894" spans="5:10" ht="12.75" hidden="1" customHeight="1" x14ac:dyDescent="0.25">
      <c r="E894" s="305">
        <f>SUMIF(Adjustments!A:A,A894,Adjustments!C:C)</f>
        <v>0</v>
      </c>
      <c r="F894" s="278">
        <f t="shared" si="13"/>
        <v>0</v>
      </c>
      <c r="G894" s="263" t="e">
        <v>#N/A</v>
      </c>
      <c r="H894" s="266" t="e">
        <f>VLOOKUP('Trial Balance'!$A894,'Code Allocation'!$A:$D,4,0)</f>
        <v>#N/A</v>
      </c>
      <c r="I894" s="267" t="e">
        <f>VLOOKUP('Trial Balance'!$A894,'Code Allocation'!$A:$E,5,0)</f>
        <v>#N/A</v>
      </c>
      <c r="J894" s="268" t="e">
        <f>VLOOKUP('Trial Balance'!$A894,'Code Allocation'!$A:$F,6,0)</f>
        <v>#N/A</v>
      </c>
    </row>
    <row r="895" spans="5:10" ht="12.75" hidden="1" customHeight="1" x14ac:dyDescent="0.25">
      <c r="E895" s="305">
        <f>SUMIF(Adjustments!A:A,A895,Adjustments!C:C)</f>
        <v>0</v>
      </c>
      <c r="F895" s="278">
        <f t="shared" si="13"/>
        <v>0</v>
      </c>
      <c r="G895" s="263" t="e">
        <v>#N/A</v>
      </c>
      <c r="H895" s="266" t="e">
        <f>VLOOKUP('Trial Balance'!$A895,'Code Allocation'!$A:$D,4,0)</f>
        <v>#N/A</v>
      </c>
      <c r="I895" s="267" t="e">
        <f>VLOOKUP('Trial Balance'!$A895,'Code Allocation'!$A:$E,5,0)</f>
        <v>#N/A</v>
      </c>
      <c r="J895" s="268" t="e">
        <f>VLOOKUP('Trial Balance'!$A895,'Code Allocation'!$A:$F,6,0)</f>
        <v>#N/A</v>
      </c>
    </row>
    <row r="896" spans="5:10" ht="12.75" hidden="1" customHeight="1" x14ac:dyDescent="0.25">
      <c r="E896" s="305">
        <f>SUMIF(Adjustments!A:A,A896,Adjustments!C:C)</f>
        <v>0</v>
      </c>
      <c r="F896" s="278">
        <f t="shared" si="13"/>
        <v>0</v>
      </c>
      <c r="G896" s="263" t="e">
        <v>#N/A</v>
      </c>
      <c r="H896" s="266" t="e">
        <f>VLOOKUP('Trial Balance'!$A896,'Code Allocation'!$A:$D,4,0)</f>
        <v>#N/A</v>
      </c>
      <c r="I896" s="267" t="e">
        <f>VLOOKUP('Trial Balance'!$A896,'Code Allocation'!$A:$E,5,0)</f>
        <v>#N/A</v>
      </c>
      <c r="J896" s="268" t="e">
        <f>VLOOKUP('Trial Balance'!$A896,'Code Allocation'!$A:$F,6,0)</f>
        <v>#N/A</v>
      </c>
    </row>
    <row r="897" spans="5:10" ht="12.75" hidden="1" customHeight="1" x14ac:dyDescent="0.25">
      <c r="E897" s="305">
        <f>SUMIF(Adjustments!A:A,A897,Adjustments!C:C)</f>
        <v>0</v>
      </c>
      <c r="F897" s="278">
        <f t="shared" si="13"/>
        <v>0</v>
      </c>
      <c r="G897" s="263" t="e">
        <v>#N/A</v>
      </c>
      <c r="H897" s="266" t="e">
        <f>VLOOKUP('Trial Balance'!$A897,'Code Allocation'!$A:$D,4,0)</f>
        <v>#N/A</v>
      </c>
      <c r="I897" s="267" t="e">
        <f>VLOOKUP('Trial Balance'!$A897,'Code Allocation'!$A:$E,5,0)</f>
        <v>#N/A</v>
      </c>
      <c r="J897" s="268" t="e">
        <f>VLOOKUP('Trial Balance'!$A897,'Code Allocation'!$A:$F,6,0)</f>
        <v>#N/A</v>
      </c>
    </row>
    <row r="898" spans="5:10" ht="12.75" hidden="1" customHeight="1" x14ac:dyDescent="0.25">
      <c r="E898" s="305">
        <f>SUMIF(Adjustments!A:A,A898,Adjustments!C:C)</f>
        <v>0</v>
      </c>
      <c r="F898" s="278">
        <f t="shared" si="13"/>
        <v>0</v>
      </c>
      <c r="G898" s="263" t="e">
        <v>#N/A</v>
      </c>
      <c r="H898" s="266" t="e">
        <f>VLOOKUP('Trial Balance'!$A898,'Code Allocation'!$A:$D,4,0)</f>
        <v>#N/A</v>
      </c>
      <c r="I898" s="267" t="e">
        <f>VLOOKUP('Trial Balance'!$A898,'Code Allocation'!$A:$E,5,0)</f>
        <v>#N/A</v>
      </c>
      <c r="J898" s="268" t="e">
        <f>VLOOKUP('Trial Balance'!$A898,'Code Allocation'!$A:$F,6,0)</f>
        <v>#N/A</v>
      </c>
    </row>
    <row r="899" spans="5:10" ht="12.75" hidden="1" customHeight="1" x14ac:dyDescent="0.25">
      <c r="E899" s="305">
        <f>SUMIF(Adjustments!A:A,A899,Adjustments!C:C)</f>
        <v>0</v>
      </c>
      <c r="F899" s="278">
        <f t="shared" si="13"/>
        <v>0</v>
      </c>
      <c r="G899" s="263" t="e">
        <v>#N/A</v>
      </c>
      <c r="H899" s="266" t="e">
        <f>VLOOKUP('Trial Balance'!$A899,'Code Allocation'!$A:$D,4,0)</f>
        <v>#N/A</v>
      </c>
      <c r="I899" s="267" t="e">
        <f>VLOOKUP('Trial Balance'!$A899,'Code Allocation'!$A:$E,5,0)</f>
        <v>#N/A</v>
      </c>
      <c r="J899" s="268" t="e">
        <f>VLOOKUP('Trial Balance'!$A899,'Code Allocation'!$A:$F,6,0)</f>
        <v>#N/A</v>
      </c>
    </row>
    <row r="900" spans="5:10" ht="12.75" hidden="1" customHeight="1" x14ac:dyDescent="0.25">
      <c r="E900" s="305">
        <f>SUMIF(Adjustments!A:A,A900,Adjustments!C:C)</f>
        <v>0</v>
      </c>
      <c r="F900" s="278">
        <f t="shared" si="13"/>
        <v>0</v>
      </c>
      <c r="G900" s="263" t="e">
        <v>#N/A</v>
      </c>
      <c r="H900" s="266" t="e">
        <f>VLOOKUP('Trial Balance'!$A900,'Code Allocation'!$A:$D,4,0)</f>
        <v>#N/A</v>
      </c>
      <c r="I900" s="267" t="e">
        <f>VLOOKUP('Trial Balance'!$A900,'Code Allocation'!$A:$E,5,0)</f>
        <v>#N/A</v>
      </c>
      <c r="J900" s="268" t="e">
        <f>VLOOKUP('Trial Balance'!$A900,'Code Allocation'!$A:$F,6,0)</f>
        <v>#N/A</v>
      </c>
    </row>
    <row r="901" spans="5:10" ht="12.75" hidden="1" customHeight="1" x14ac:dyDescent="0.25">
      <c r="E901" s="305">
        <f>SUMIF(Adjustments!A:A,A901,Adjustments!C:C)</f>
        <v>0</v>
      </c>
      <c r="F901" s="278">
        <f t="shared" si="13"/>
        <v>0</v>
      </c>
      <c r="G901" s="263" t="e">
        <v>#N/A</v>
      </c>
      <c r="H901" s="266" t="e">
        <f>VLOOKUP('Trial Balance'!$A901,'Code Allocation'!$A:$D,4,0)</f>
        <v>#N/A</v>
      </c>
      <c r="I901" s="267" t="e">
        <f>VLOOKUP('Trial Balance'!$A901,'Code Allocation'!$A:$E,5,0)</f>
        <v>#N/A</v>
      </c>
      <c r="J901" s="268" t="e">
        <f>VLOOKUP('Trial Balance'!$A901,'Code Allocation'!$A:$F,6,0)</f>
        <v>#N/A</v>
      </c>
    </row>
    <row r="902" spans="5:10" ht="12.75" hidden="1" customHeight="1" x14ac:dyDescent="0.25">
      <c r="E902" s="305">
        <f>SUMIF(Adjustments!A:A,A902,Adjustments!C:C)</f>
        <v>0</v>
      </c>
      <c r="F902" s="278">
        <f t="shared" si="13"/>
        <v>0</v>
      </c>
      <c r="G902" s="263" t="e">
        <v>#N/A</v>
      </c>
      <c r="H902" s="266" t="e">
        <f>VLOOKUP('Trial Balance'!$A902,'Code Allocation'!$A:$D,4,0)</f>
        <v>#N/A</v>
      </c>
      <c r="I902" s="267" t="e">
        <f>VLOOKUP('Trial Balance'!$A902,'Code Allocation'!$A:$E,5,0)</f>
        <v>#N/A</v>
      </c>
      <c r="J902" s="268" t="e">
        <f>VLOOKUP('Trial Balance'!$A902,'Code Allocation'!$A:$F,6,0)</f>
        <v>#N/A</v>
      </c>
    </row>
    <row r="903" spans="5:10" ht="12.75" hidden="1" customHeight="1" x14ac:dyDescent="0.25">
      <c r="E903" s="305">
        <f>SUMIF(Adjustments!A:A,A903,Adjustments!C:C)</f>
        <v>0</v>
      </c>
      <c r="F903" s="278">
        <f t="shared" si="13"/>
        <v>0</v>
      </c>
      <c r="G903" s="263" t="e">
        <v>#N/A</v>
      </c>
      <c r="H903" s="266" t="e">
        <f>VLOOKUP('Trial Balance'!$A903,'Code Allocation'!$A:$D,4,0)</f>
        <v>#N/A</v>
      </c>
      <c r="I903" s="267" t="e">
        <f>VLOOKUP('Trial Balance'!$A903,'Code Allocation'!$A:$E,5,0)</f>
        <v>#N/A</v>
      </c>
      <c r="J903" s="268" t="e">
        <f>VLOOKUP('Trial Balance'!$A903,'Code Allocation'!$A:$F,6,0)</f>
        <v>#N/A</v>
      </c>
    </row>
    <row r="904" spans="5:10" ht="12.75" hidden="1" customHeight="1" x14ac:dyDescent="0.25">
      <c r="E904" s="305">
        <f>SUMIF(Adjustments!A:A,A904,Adjustments!C:C)</f>
        <v>0</v>
      </c>
      <c r="F904" s="278">
        <f t="shared" si="13"/>
        <v>0</v>
      </c>
      <c r="G904" s="263" t="e">
        <v>#N/A</v>
      </c>
      <c r="H904" s="266" t="e">
        <f>VLOOKUP('Trial Balance'!$A904,'Code Allocation'!$A:$D,4,0)</f>
        <v>#N/A</v>
      </c>
      <c r="I904" s="267" t="e">
        <f>VLOOKUP('Trial Balance'!$A904,'Code Allocation'!$A:$E,5,0)</f>
        <v>#N/A</v>
      </c>
      <c r="J904" s="268" t="e">
        <f>VLOOKUP('Trial Balance'!$A904,'Code Allocation'!$A:$F,6,0)</f>
        <v>#N/A</v>
      </c>
    </row>
    <row r="905" spans="5:10" ht="12.75" hidden="1" customHeight="1" x14ac:dyDescent="0.25">
      <c r="E905" s="305">
        <f>SUMIF(Adjustments!A:A,A905,Adjustments!C:C)</f>
        <v>0</v>
      </c>
      <c r="F905" s="278">
        <f t="shared" si="13"/>
        <v>0</v>
      </c>
      <c r="G905" s="263" t="e">
        <v>#N/A</v>
      </c>
      <c r="H905" s="266" t="e">
        <f>VLOOKUP('Trial Balance'!$A905,'Code Allocation'!$A:$D,4,0)</f>
        <v>#N/A</v>
      </c>
      <c r="I905" s="267" t="e">
        <f>VLOOKUP('Trial Balance'!$A905,'Code Allocation'!$A:$E,5,0)</f>
        <v>#N/A</v>
      </c>
      <c r="J905" s="268" t="e">
        <f>VLOOKUP('Trial Balance'!$A905,'Code Allocation'!$A:$F,6,0)</f>
        <v>#N/A</v>
      </c>
    </row>
    <row r="906" spans="5:10" ht="12.75" hidden="1" customHeight="1" x14ac:dyDescent="0.25">
      <c r="E906" s="305">
        <f>SUMIF(Adjustments!A:A,A906,Adjustments!C:C)</f>
        <v>0</v>
      </c>
      <c r="F906" s="278">
        <f t="shared" si="13"/>
        <v>0</v>
      </c>
      <c r="G906" s="263" t="e">
        <v>#N/A</v>
      </c>
      <c r="H906" s="266" t="e">
        <f>VLOOKUP('Trial Balance'!$A906,'Code Allocation'!$A:$D,4,0)</f>
        <v>#N/A</v>
      </c>
      <c r="I906" s="267" t="e">
        <f>VLOOKUP('Trial Balance'!$A906,'Code Allocation'!$A:$E,5,0)</f>
        <v>#N/A</v>
      </c>
      <c r="J906" s="268" t="e">
        <f>VLOOKUP('Trial Balance'!$A906,'Code Allocation'!$A:$F,6,0)</f>
        <v>#N/A</v>
      </c>
    </row>
    <row r="907" spans="5:10" ht="12.75" hidden="1" customHeight="1" x14ac:dyDescent="0.25">
      <c r="E907" s="305">
        <f>SUMIF(Adjustments!A:A,A907,Adjustments!C:C)</f>
        <v>0</v>
      </c>
      <c r="F907" s="278">
        <f t="shared" si="13"/>
        <v>0</v>
      </c>
      <c r="G907" s="263" t="e">
        <v>#N/A</v>
      </c>
      <c r="H907" s="266" t="e">
        <f>VLOOKUP('Trial Balance'!$A907,'Code Allocation'!$A:$D,4,0)</f>
        <v>#N/A</v>
      </c>
      <c r="I907" s="267" t="e">
        <f>VLOOKUP('Trial Balance'!$A907,'Code Allocation'!$A:$E,5,0)</f>
        <v>#N/A</v>
      </c>
      <c r="J907" s="268" t="e">
        <f>VLOOKUP('Trial Balance'!$A907,'Code Allocation'!$A:$F,6,0)</f>
        <v>#N/A</v>
      </c>
    </row>
    <row r="908" spans="5:10" ht="12.75" hidden="1" customHeight="1" x14ac:dyDescent="0.25">
      <c r="E908" s="305">
        <f>SUMIF(Adjustments!A:A,A908,Adjustments!C:C)</f>
        <v>0</v>
      </c>
      <c r="F908" s="278">
        <f t="shared" si="13"/>
        <v>0</v>
      </c>
      <c r="G908" s="263" t="e">
        <v>#N/A</v>
      </c>
      <c r="H908" s="266" t="e">
        <f>VLOOKUP('Trial Balance'!$A908,'Code Allocation'!$A:$D,4,0)</f>
        <v>#N/A</v>
      </c>
      <c r="I908" s="267" t="e">
        <f>VLOOKUP('Trial Balance'!$A908,'Code Allocation'!$A:$E,5,0)</f>
        <v>#N/A</v>
      </c>
      <c r="J908" s="268" t="e">
        <f>VLOOKUP('Trial Balance'!$A908,'Code Allocation'!$A:$F,6,0)</f>
        <v>#N/A</v>
      </c>
    </row>
    <row r="909" spans="5:10" ht="12.75" hidden="1" customHeight="1" x14ac:dyDescent="0.25">
      <c r="E909" s="305">
        <f>SUMIF(Adjustments!A:A,A909,Adjustments!C:C)</f>
        <v>0</v>
      </c>
      <c r="F909" s="278">
        <f t="shared" si="13"/>
        <v>0</v>
      </c>
      <c r="G909" s="263" t="e">
        <v>#N/A</v>
      </c>
      <c r="H909" s="266" t="e">
        <f>VLOOKUP('Trial Balance'!$A909,'Code Allocation'!$A:$D,4,0)</f>
        <v>#N/A</v>
      </c>
      <c r="I909" s="267" t="e">
        <f>VLOOKUP('Trial Balance'!$A909,'Code Allocation'!$A:$E,5,0)</f>
        <v>#N/A</v>
      </c>
      <c r="J909" s="268" t="e">
        <f>VLOOKUP('Trial Balance'!$A909,'Code Allocation'!$A:$F,6,0)</f>
        <v>#N/A</v>
      </c>
    </row>
    <row r="910" spans="5:10" ht="12.75" hidden="1" customHeight="1" x14ac:dyDescent="0.25">
      <c r="E910" s="305">
        <f>SUMIF(Adjustments!A:A,A910,Adjustments!C:C)</f>
        <v>0</v>
      </c>
      <c r="F910" s="278">
        <f t="shared" si="13"/>
        <v>0</v>
      </c>
      <c r="G910" s="263" t="e">
        <v>#N/A</v>
      </c>
      <c r="H910" s="266" t="e">
        <f>VLOOKUP('Trial Balance'!$A910,'Code Allocation'!$A:$D,4,0)</f>
        <v>#N/A</v>
      </c>
      <c r="I910" s="267" t="e">
        <f>VLOOKUP('Trial Balance'!$A910,'Code Allocation'!$A:$E,5,0)</f>
        <v>#N/A</v>
      </c>
      <c r="J910" s="268" t="e">
        <f>VLOOKUP('Trial Balance'!$A910,'Code Allocation'!$A:$F,6,0)</f>
        <v>#N/A</v>
      </c>
    </row>
    <row r="911" spans="5:10" ht="12.75" hidden="1" customHeight="1" x14ac:dyDescent="0.25">
      <c r="E911" s="305">
        <f>SUMIF(Adjustments!A:A,A911,Adjustments!C:C)</f>
        <v>0</v>
      </c>
      <c r="F911" s="278">
        <f t="shared" si="13"/>
        <v>0</v>
      </c>
      <c r="G911" s="263" t="e">
        <v>#N/A</v>
      </c>
      <c r="H911" s="266" t="e">
        <f>VLOOKUP('Trial Balance'!$A911,'Code Allocation'!$A:$D,4,0)</f>
        <v>#N/A</v>
      </c>
      <c r="I911" s="267" t="e">
        <f>VLOOKUP('Trial Balance'!$A911,'Code Allocation'!$A:$E,5,0)</f>
        <v>#N/A</v>
      </c>
      <c r="J911" s="268" t="e">
        <f>VLOOKUP('Trial Balance'!$A911,'Code Allocation'!$A:$F,6,0)</f>
        <v>#N/A</v>
      </c>
    </row>
    <row r="912" spans="5:10" ht="12.75" hidden="1" customHeight="1" x14ac:dyDescent="0.25">
      <c r="E912" s="305">
        <f>SUMIF(Adjustments!A:A,A912,Adjustments!C:C)</f>
        <v>0</v>
      </c>
      <c r="F912" s="278">
        <f t="shared" si="13"/>
        <v>0</v>
      </c>
      <c r="G912" s="263" t="e">
        <v>#N/A</v>
      </c>
      <c r="H912" s="266" t="e">
        <f>VLOOKUP('Trial Balance'!$A912,'Code Allocation'!$A:$D,4,0)</f>
        <v>#N/A</v>
      </c>
      <c r="I912" s="267" t="e">
        <f>VLOOKUP('Trial Balance'!$A912,'Code Allocation'!$A:$E,5,0)</f>
        <v>#N/A</v>
      </c>
      <c r="J912" s="268" t="e">
        <f>VLOOKUP('Trial Balance'!$A912,'Code Allocation'!$A:$F,6,0)</f>
        <v>#N/A</v>
      </c>
    </row>
    <row r="913" spans="5:10" ht="12.75" hidden="1" customHeight="1" x14ac:dyDescent="0.25">
      <c r="E913" s="305">
        <f>SUMIF(Adjustments!A:A,A913,Adjustments!C:C)</f>
        <v>0</v>
      </c>
      <c r="F913" s="278">
        <f t="shared" si="13"/>
        <v>0</v>
      </c>
      <c r="G913" s="263" t="e">
        <v>#N/A</v>
      </c>
      <c r="H913" s="266" t="e">
        <f>VLOOKUP('Trial Balance'!$A913,'Code Allocation'!$A:$D,4,0)</f>
        <v>#N/A</v>
      </c>
      <c r="I913" s="267" t="e">
        <f>VLOOKUP('Trial Balance'!$A913,'Code Allocation'!$A:$E,5,0)</f>
        <v>#N/A</v>
      </c>
      <c r="J913" s="268" t="e">
        <f>VLOOKUP('Trial Balance'!$A913,'Code Allocation'!$A:$F,6,0)</f>
        <v>#N/A</v>
      </c>
    </row>
    <row r="914" spans="5:10" ht="12.75" hidden="1" customHeight="1" x14ac:dyDescent="0.25">
      <c r="E914" s="305">
        <f>SUMIF(Adjustments!A:A,A914,Adjustments!C:C)</f>
        <v>0</v>
      </c>
      <c r="F914" s="278">
        <f t="shared" si="13"/>
        <v>0</v>
      </c>
      <c r="G914" s="263" t="e">
        <v>#N/A</v>
      </c>
      <c r="H914" s="266" t="e">
        <f>VLOOKUP('Trial Balance'!$A914,'Code Allocation'!$A:$D,4,0)</f>
        <v>#N/A</v>
      </c>
      <c r="I914" s="267" t="e">
        <f>VLOOKUP('Trial Balance'!$A914,'Code Allocation'!$A:$E,5,0)</f>
        <v>#N/A</v>
      </c>
      <c r="J914" s="268" t="e">
        <f>VLOOKUP('Trial Balance'!$A914,'Code Allocation'!$A:$F,6,0)</f>
        <v>#N/A</v>
      </c>
    </row>
    <row r="915" spans="5:10" ht="12.75" hidden="1" customHeight="1" x14ac:dyDescent="0.25">
      <c r="E915" s="305">
        <f>SUMIF(Adjustments!A:A,A915,Adjustments!C:C)</f>
        <v>0</v>
      </c>
      <c r="F915" s="278">
        <f t="shared" si="13"/>
        <v>0</v>
      </c>
      <c r="G915" s="263" t="e">
        <v>#N/A</v>
      </c>
      <c r="H915" s="266" t="e">
        <f>VLOOKUP('Trial Balance'!$A915,'Code Allocation'!$A:$D,4,0)</f>
        <v>#N/A</v>
      </c>
      <c r="I915" s="267" t="e">
        <f>VLOOKUP('Trial Balance'!$A915,'Code Allocation'!$A:$E,5,0)</f>
        <v>#N/A</v>
      </c>
      <c r="J915" s="268" t="e">
        <f>VLOOKUP('Trial Balance'!$A915,'Code Allocation'!$A:$F,6,0)</f>
        <v>#N/A</v>
      </c>
    </row>
    <row r="916" spans="5:10" ht="12.75" hidden="1" customHeight="1" x14ac:dyDescent="0.25">
      <c r="E916" s="305">
        <f>SUMIF(Adjustments!A:A,A916,Adjustments!C:C)</f>
        <v>0</v>
      </c>
      <c r="F916" s="278">
        <f t="shared" si="13"/>
        <v>0</v>
      </c>
      <c r="G916" s="263" t="e">
        <v>#N/A</v>
      </c>
      <c r="H916" s="266" t="e">
        <f>VLOOKUP('Trial Balance'!$A916,'Code Allocation'!$A:$D,4,0)</f>
        <v>#N/A</v>
      </c>
      <c r="I916" s="267" t="e">
        <f>VLOOKUP('Trial Balance'!$A916,'Code Allocation'!$A:$E,5,0)</f>
        <v>#N/A</v>
      </c>
      <c r="J916" s="268" t="e">
        <f>VLOOKUP('Trial Balance'!$A916,'Code Allocation'!$A:$F,6,0)</f>
        <v>#N/A</v>
      </c>
    </row>
    <row r="917" spans="5:10" ht="12.75" hidden="1" customHeight="1" x14ac:dyDescent="0.25">
      <c r="E917" s="305">
        <f>SUMIF(Adjustments!A:A,A917,Adjustments!C:C)</f>
        <v>0</v>
      </c>
      <c r="F917" s="278">
        <f t="shared" si="13"/>
        <v>0</v>
      </c>
      <c r="G917" s="263" t="e">
        <v>#N/A</v>
      </c>
      <c r="H917" s="266" t="e">
        <f>VLOOKUP('Trial Balance'!$A917,'Code Allocation'!$A:$D,4,0)</f>
        <v>#N/A</v>
      </c>
      <c r="I917" s="267" t="e">
        <f>VLOOKUP('Trial Balance'!$A917,'Code Allocation'!$A:$E,5,0)</f>
        <v>#N/A</v>
      </c>
      <c r="J917" s="268" t="e">
        <f>VLOOKUP('Trial Balance'!$A917,'Code Allocation'!$A:$F,6,0)</f>
        <v>#N/A</v>
      </c>
    </row>
    <row r="918" spans="5:10" ht="12.75" hidden="1" customHeight="1" x14ac:dyDescent="0.25">
      <c r="E918" s="305">
        <f>SUMIF(Adjustments!A:A,A918,Adjustments!C:C)</f>
        <v>0</v>
      </c>
      <c r="F918" s="278">
        <f t="shared" si="13"/>
        <v>0</v>
      </c>
      <c r="G918" s="263" t="e">
        <v>#N/A</v>
      </c>
      <c r="H918" s="266" t="e">
        <f>VLOOKUP('Trial Balance'!$A918,'Code Allocation'!$A:$D,4,0)</f>
        <v>#N/A</v>
      </c>
      <c r="I918" s="267" t="e">
        <f>VLOOKUP('Trial Balance'!$A918,'Code Allocation'!$A:$E,5,0)</f>
        <v>#N/A</v>
      </c>
      <c r="J918" s="268" t="e">
        <f>VLOOKUP('Trial Balance'!$A918,'Code Allocation'!$A:$F,6,0)</f>
        <v>#N/A</v>
      </c>
    </row>
    <row r="919" spans="5:10" ht="12.75" hidden="1" customHeight="1" x14ac:dyDescent="0.25">
      <c r="E919" s="305">
        <f>SUMIF(Adjustments!A:A,A919,Adjustments!C:C)</f>
        <v>0</v>
      </c>
      <c r="F919" s="278">
        <f t="shared" si="13"/>
        <v>0</v>
      </c>
      <c r="G919" s="263" t="e">
        <v>#N/A</v>
      </c>
      <c r="H919" s="266" t="e">
        <f>VLOOKUP('Trial Balance'!$A919,'Code Allocation'!$A:$D,4,0)</f>
        <v>#N/A</v>
      </c>
      <c r="I919" s="267" t="e">
        <f>VLOOKUP('Trial Balance'!$A919,'Code Allocation'!$A:$E,5,0)</f>
        <v>#N/A</v>
      </c>
      <c r="J919" s="268" t="e">
        <f>VLOOKUP('Trial Balance'!$A919,'Code Allocation'!$A:$F,6,0)</f>
        <v>#N/A</v>
      </c>
    </row>
    <row r="920" spans="5:10" ht="12.75" hidden="1" customHeight="1" x14ac:dyDescent="0.25">
      <c r="E920" s="305">
        <f>SUMIF(Adjustments!A:A,A920,Adjustments!C:C)</f>
        <v>0</v>
      </c>
      <c r="F920" s="278">
        <f t="shared" si="13"/>
        <v>0</v>
      </c>
      <c r="G920" s="263" t="e">
        <v>#N/A</v>
      </c>
      <c r="H920" s="266" t="e">
        <f>VLOOKUP('Trial Balance'!$A920,'Code Allocation'!$A:$D,4,0)</f>
        <v>#N/A</v>
      </c>
      <c r="I920" s="267" t="e">
        <f>VLOOKUP('Trial Balance'!$A920,'Code Allocation'!$A:$E,5,0)</f>
        <v>#N/A</v>
      </c>
      <c r="J920" s="268" t="e">
        <f>VLOOKUP('Trial Balance'!$A920,'Code Allocation'!$A:$F,6,0)</f>
        <v>#N/A</v>
      </c>
    </row>
    <row r="921" spans="5:10" ht="12.75" hidden="1" customHeight="1" x14ac:dyDescent="0.25">
      <c r="E921" s="305">
        <f>SUMIF(Adjustments!A:A,A921,Adjustments!C:C)</f>
        <v>0</v>
      </c>
      <c r="F921" s="278">
        <f t="shared" si="13"/>
        <v>0</v>
      </c>
      <c r="G921" s="263" t="e">
        <v>#N/A</v>
      </c>
      <c r="H921" s="266" t="e">
        <f>VLOOKUP('Trial Balance'!$A921,'Code Allocation'!$A:$D,4,0)</f>
        <v>#N/A</v>
      </c>
      <c r="I921" s="267" t="e">
        <f>VLOOKUP('Trial Balance'!$A921,'Code Allocation'!$A:$E,5,0)</f>
        <v>#N/A</v>
      </c>
      <c r="J921" s="268" t="e">
        <f>VLOOKUP('Trial Balance'!$A921,'Code Allocation'!$A:$F,6,0)</f>
        <v>#N/A</v>
      </c>
    </row>
    <row r="922" spans="5:10" ht="12.75" hidden="1" customHeight="1" x14ac:dyDescent="0.25">
      <c r="E922" s="305">
        <f>SUMIF(Adjustments!A:A,A922,Adjustments!C:C)</f>
        <v>0</v>
      </c>
      <c r="F922" s="278">
        <f t="shared" si="13"/>
        <v>0</v>
      </c>
      <c r="G922" s="263" t="e">
        <v>#N/A</v>
      </c>
      <c r="H922" s="266" t="e">
        <f>VLOOKUP('Trial Balance'!$A922,'Code Allocation'!$A:$D,4,0)</f>
        <v>#N/A</v>
      </c>
      <c r="I922" s="267" t="e">
        <f>VLOOKUP('Trial Balance'!$A922,'Code Allocation'!$A:$E,5,0)</f>
        <v>#N/A</v>
      </c>
      <c r="J922" s="268" t="e">
        <f>VLOOKUP('Trial Balance'!$A922,'Code Allocation'!$A:$F,6,0)</f>
        <v>#N/A</v>
      </c>
    </row>
    <row r="923" spans="5:10" ht="12.75" hidden="1" customHeight="1" x14ac:dyDescent="0.25">
      <c r="E923" s="305">
        <f>SUMIF(Adjustments!A:A,A923,Adjustments!C:C)</f>
        <v>0</v>
      </c>
      <c r="F923" s="278">
        <f t="shared" si="13"/>
        <v>0</v>
      </c>
      <c r="G923" s="263" t="e">
        <v>#N/A</v>
      </c>
      <c r="H923" s="266" t="e">
        <f>VLOOKUP('Trial Balance'!$A923,'Code Allocation'!$A:$D,4,0)</f>
        <v>#N/A</v>
      </c>
      <c r="I923" s="267" t="e">
        <f>VLOOKUP('Trial Balance'!$A923,'Code Allocation'!$A:$E,5,0)</f>
        <v>#N/A</v>
      </c>
      <c r="J923" s="268" t="e">
        <f>VLOOKUP('Trial Balance'!$A923,'Code Allocation'!$A:$F,6,0)</f>
        <v>#N/A</v>
      </c>
    </row>
    <row r="924" spans="5:10" ht="12.75" hidden="1" customHeight="1" x14ac:dyDescent="0.25">
      <c r="E924" s="305">
        <f>SUMIF(Adjustments!A:A,A924,Adjustments!C:C)</f>
        <v>0</v>
      </c>
      <c r="F924" s="278">
        <f t="shared" si="13"/>
        <v>0</v>
      </c>
      <c r="G924" s="263" t="e">
        <v>#N/A</v>
      </c>
      <c r="H924" s="266" t="e">
        <f>VLOOKUP('Trial Balance'!$A924,'Code Allocation'!$A:$D,4,0)</f>
        <v>#N/A</v>
      </c>
      <c r="I924" s="267" t="e">
        <f>VLOOKUP('Trial Balance'!$A924,'Code Allocation'!$A:$E,5,0)</f>
        <v>#N/A</v>
      </c>
      <c r="J924" s="268" t="e">
        <f>VLOOKUP('Trial Balance'!$A924,'Code Allocation'!$A:$F,6,0)</f>
        <v>#N/A</v>
      </c>
    </row>
    <row r="925" spans="5:10" ht="12.75" hidden="1" customHeight="1" x14ac:dyDescent="0.25">
      <c r="E925" s="305">
        <f>SUMIF(Adjustments!A:A,A925,Adjustments!C:C)</f>
        <v>0</v>
      </c>
      <c r="F925" s="278">
        <f t="shared" si="13"/>
        <v>0</v>
      </c>
      <c r="G925" s="263" t="e">
        <v>#N/A</v>
      </c>
      <c r="H925" s="266" t="e">
        <f>VLOOKUP('Trial Balance'!$A925,'Code Allocation'!$A:$D,4,0)</f>
        <v>#N/A</v>
      </c>
      <c r="I925" s="267" t="e">
        <f>VLOOKUP('Trial Balance'!$A925,'Code Allocation'!$A:$E,5,0)</f>
        <v>#N/A</v>
      </c>
      <c r="J925" s="268" t="e">
        <f>VLOOKUP('Trial Balance'!$A925,'Code Allocation'!$A:$F,6,0)</f>
        <v>#N/A</v>
      </c>
    </row>
    <row r="926" spans="5:10" ht="12.75" hidden="1" customHeight="1" x14ac:dyDescent="0.25">
      <c r="E926" s="305">
        <f>SUMIF(Adjustments!A:A,A926,Adjustments!C:C)</f>
        <v>0</v>
      </c>
      <c r="F926" s="278">
        <f t="shared" si="13"/>
        <v>0</v>
      </c>
      <c r="G926" s="263" t="e">
        <v>#N/A</v>
      </c>
      <c r="H926" s="266" t="e">
        <f>VLOOKUP('Trial Balance'!$A926,'Code Allocation'!$A:$D,4,0)</f>
        <v>#N/A</v>
      </c>
      <c r="I926" s="267" t="e">
        <f>VLOOKUP('Trial Balance'!$A926,'Code Allocation'!$A:$E,5,0)</f>
        <v>#N/A</v>
      </c>
      <c r="J926" s="268" t="e">
        <f>VLOOKUP('Trial Balance'!$A926,'Code Allocation'!$A:$F,6,0)</f>
        <v>#N/A</v>
      </c>
    </row>
    <row r="927" spans="5:10" ht="12.75" hidden="1" customHeight="1" x14ac:dyDescent="0.25">
      <c r="E927" s="305">
        <f>SUMIF(Adjustments!A:A,A927,Adjustments!C:C)</f>
        <v>0</v>
      </c>
      <c r="F927" s="278">
        <f t="shared" si="13"/>
        <v>0</v>
      </c>
      <c r="G927" s="263" t="e">
        <v>#N/A</v>
      </c>
      <c r="H927" s="266" t="e">
        <f>VLOOKUP('Trial Balance'!$A927,'Code Allocation'!$A:$D,4,0)</f>
        <v>#N/A</v>
      </c>
      <c r="I927" s="267" t="e">
        <f>VLOOKUP('Trial Balance'!$A927,'Code Allocation'!$A:$E,5,0)</f>
        <v>#N/A</v>
      </c>
      <c r="J927" s="268" t="e">
        <f>VLOOKUP('Trial Balance'!$A927,'Code Allocation'!$A:$F,6,0)</f>
        <v>#N/A</v>
      </c>
    </row>
    <row r="928" spans="5:10" ht="12.75" hidden="1" customHeight="1" x14ac:dyDescent="0.25">
      <c r="E928" s="305">
        <f>SUMIF(Adjustments!A:A,A928,Adjustments!C:C)</f>
        <v>0</v>
      </c>
      <c r="F928" s="278">
        <f t="shared" si="13"/>
        <v>0</v>
      </c>
      <c r="G928" s="263" t="e">
        <v>#N/A</v>
      </c>
      <c r="H928" s="266" t="e">
        <f>VLOOKUP('Trial Balance'!$A928,'Code Allocation'!$A:$D,4,0)</f>
        <v>#N/A</v>
      </c>
      <c r="I928" s="267" t="e">
        <f>VLOOKUP('Trial Balance'!$A928,'Code Allocation'!$A:$E,5,0)</f>
        <v>#N/A</v>
      </c>
      <c r="J928" s="268" t="e">
        <f>VLOOKUP('Trial Balance'!$A928,'Code Allocation'!$A:$F,6,0)</f>
        <v>#N/A</v>
      </c>
    </row>
    <row r="929" spans="5:10" ht="12.75" hidden="1" customHeight="1" x14ac:dyDescent="0.25">
      <c r="E929" s="305">
        <f>SUMIF(Adjustments!A:A,A929,Adjustments!C:C)</f>
        <v>0</v>
      </c>
      <c r="F929" s="278">
        <f t="shared" si="13"/>
        <v>0</v>
      </c>
      <c r="G929" s="263" t="e">
        <v>#N/A</v>
      </c>
      <c r="H929" s="266" t="e">
        <f>VLOOKUP('Trial Balance'!$A929,'Code Allocation'!$A:$D,4,0)</f>
        <v>#N/A</v>
      </c>
      <c r="I929" s="267" t="e">
        <f>VLOOKUP('Trial Balance'!$A929,'Code Allocation'!$A:$E,5,0)</f>
        <v>#N/A</v>
      </c>
      <c r="J929" s="268" t="e">
        <f>VLOOKUP('Trial Balance'!$A929,'Code Allocation'!$A:$F,6,0)</f>
        <v>#N/A</v>
      </c>
    </row>
    <row r="930" spans="5:10" ht="12.75" hidden="1" customHeight="1" x14ac:dyDescent="0.25">
      <c r="E930" s="305">
        <f>SUMIF(Adjustments!A:A,A930,Adjustments!C:C)</f>
        <v>0</v>
      </c>
      <c r="F930" s="278">
        <f t="shared" si="13"/>
        <v>0</v>
      </c>
      <c r="G930" s="263" t="e">
        <v>#N/A</v>
      </c>
      <c r="H930" s="266" t="e">
        <f>VLOOKUP('Trial Balance'!$A930,'Code Allocation'!$A:$D,4,0)</f>
        <v>#N/A</v>
      </c>
      <c r="I930" s="267" t="e">
        <f>VLOOKUP('Trial Balance'!$A930,'Code Allocation'!$A:$E,5,0)</f>
        <v>#N/A</v>
      </c>
      <c r="J930" s="268" t="e">
        <f>VLOOKUP('Trial Balance'!$A930,'Code Allocation'!$A:$F,6,0)</f>
        <v>#N/A</v>
      </c>
    </row>
    <row r="931" spans="5:10" ht="12.75" hidden="1" customHeight="1" x14ac:dyDescent="0.25">
      <c r="E931" s="305">
        <f>SUMIF(Adjustments!A:A,A931,Adjustments!C:C)</f>
        <v>0</v>
      </c>
      <c r="F931" s="278">
        <f t="shared" si="13"/>
        <v>0</v>
      </c>
      <c r="G931" s="263" t="e">
        <v>#N/A</v>
      </c>
      <c r="H931" s="266" t="e">
        <f>VLOOKUP('Trial Balance'!$A931,'Code Allocation'!$A:$D,4,0)</f>
        <v>#N/A</v>
      </c>
      <c r="I931" s="267" t="e">
        <f>VLOOKUP('Trial Balance'!$A931,'Code Allocation'!$A:$E,5,0)</f>
        <v>#N/A</v>
      </c>
      <c r="J931" s="268" t="e">
        <f>VLOOKUP('Trial Balance'!$A931,'Code Allocation'!$A:$F,6,0)</f>
        <v>#N/A</v>
      </c>
    </row>
    <row r="932" spans="5:10" ht="12.75" hidden="1" customHeight="1" x14ac:dyDescent="0.25">
      <c r="E932" s="305">
        <f>SUMIF(Adjustments!A:A,A932,Adjustments!C:C)</f>
        <v>0</v>
      </c>
      <c r="F932" s="278">
        <f t="shared" si="13"/>
        <v>0</v>
      </c>
      <c r="G932" s="263" t="e">
        <v>#N/A</v>
      </c>
      <c r="H932" s="266" t="e">
        <f>VLOOKUP('Trial Balance'!$A932,'Code Allocation'!$A:$D,4,0)</f>
        <v>#N/A</v>
      </c>
      <c r="I932" s="267" t="e">
        <f>VLOOKUP('Trial Balance'!$A932,'Code Allocation'!$A:$E,5,0)</f>
        <v>#N/A</v>
      </c>
      <c r="J932" s="268" t="e">
        <f>VLOOKUP('Trial Balance'!$A932,'Code Allocation'!$A:$F,6,0)</f>
        <v>#N/A</v>
      </c>
    </row>
    <row r="933" spans="5:10" ht="12.75" hidden="1" customHeight="1" x14ac:dyDescent="0.25">
      <c r="E933" s="305">
        <f>SUMIF(Adjustments!A:A,A933,Adjustments!C:C)</f>
        <v>0</v>
      </c>
      <c r="F933" s="278">
        <f t="shared" si="13"/>
        <v>0</v>
      </c>
      <c r="G933" s="263" t="e">
        <v>#N/A</v>
      </c>
      <c r="H933" s="266" t="e">
        <f>VLOOKUP('Trial Balance'!$A933,'Code Allocation'!$A:$D,4,0)</f>
        <v>#N/A</v>
      </c>
      <c r="I933" s="267" t="e">
        <f>VLOOKUP('Trial Balance'!$A933,'Code Allocation'!$A:$E,5,0)</f>
        <v>#N/A</v>
      </c>
      <c r="J933" s="268" t="e">
        <f>VLOOKUP('Trial Balance'!$A933,'Code Allocation'!$A:$F,6,0)</f>
        <v>#N/A</v>
      </c>
    </row>
    <row r="934" spans="5:10" ht="12.75" hidden="1" customHeight="1" x14ac:dyDescent="0.25">
      <c r="E934" s="305">
        <f>SUMIF(Adjustments!A:A,A934,Adjustments!C:C)</f>
        <v>0</v>
      </c>
      <c r="F934" s="278">
        <f t="shared" si="13"/>
        <v>0</v>
      </c>
      <c r="G934" s="263" t="e">
        <v>#N/A</v>
      </c>
      <c r="H934" s="266" t="e">
        <f>VLOOKUP('Trial Balance'!$A934,'Code Allocation'!$A:$D,4,0)</f>
        <v>#N/A</v>
      </c>
      <c r="I934" s="267" t="e">
        <f>VLOOKUP('Trial Balance'!$A934,'Code Allocation'!$A:$E,5,0)</f>
        <v>#N/A</v>
      </c>
      <c r="J934" s="268" t="e">
        <f>VLOOKUP('Trial Balance'!$A934,'Code Allocation'!$A:$F,6,0)</f>
        <v>#N/A</v>
      </c>
    </row>
    <row r="935" spans="5:10" ht="12.75" hidden="1" customHeight="1" x14ac:dyDescent="0.25">
      <c r="E935" s="305">
        <f>SUMIF(Adjustments!A:A,A935,Adjustments!C:C)</f>
        <v>0</v>
      </c>
      <c r="F935" s="278">
        <f t="shared" si="13"/>
        <v>0</v>
      </c>
      <c r="G935" s="263" t="e">
        <v>#N/A</v>
      </c>
      <c r="H935" s="266" t="e">
        <f>VLOOKUP('Trial Balance'!$A935,'Code Allocation'!$A:$D,4,0)</f>
        <v>#N/A</v>
      </c>
      <c r="I935" s="267" t="e">
        <f>VLOOKUP('Trial Balance'!$A935,'Code Allocation'!$A:$E,5,0)</f>
        <v>#N/A</v>
      </c>
      <c r="J935" s="268" t="e">
        <f>VLOOKUP('Trial Balance'!$A935,'Code Allocation'!$A:$F,6,0)</f>
        <v>#N/A</v>
      </c>
    </row>
    <row r="936" spans="5:10" ht="12.75" hidden="1" customHeight="1" x14ac:dyDescent="0.25">
      <c r="E936" s="305">
        <f>SUMIF(Adjustments!A:A,A936,Adjustments!C:C)</f>
        <v>0</v>
      </c>
      <c r="F936" s="278">
        <f t="shared" si="13"/>
        <v>0</v>
      </c>
      <c r="G936" s="263" t="e">
        <v>#N/A</v>
      </c>
      <c r="H936" s="266" t="e">
        <f>VLOOKUP('Trial Balance'!$A936,'Code Allocation'!$A:$D,4,0)</f>
        <v>#N/A</v>
      </c>
      <c r="I936" s="267" t="e">
        <f>VLOOKUP('Trial Balance'!$A936,'Code Allocation'!$A:$E,5,0)</f>
        <v>#N/A</v>
      </c>
      <c r="J936" s="268" t="e">
        <f>VLOOKUP('Trial Balance'!$A936,'Code Allocation'!$A:$F,6,0)</f>
        <v>#N/A</v>
      </c>
    </row>
    <row r="937" spans="5:10" ht="12.75" hidden="1" customHeight="1" x14ac:dyDescent="0.25">
      <c r="E937" s="305">
        <f>SUMIF(Adjustments!A:A,A937,Adjustments!C:C)</f>
        <v>0</v>
      </c>
      <c r="F937" s="278">
        <f t="shared" si="13"/>
        <v>0</v>
      </c>
      <c r="G937" s="263" t="e">
        <v>#N/A</v>
      </c>
      <c r="H937" s="266" t="e">
        <f>VLOOKUP('Trial Balance'!$A937,'Code Allocation'!$A:$D,4,0)</f>
        <v>#N/A</v>
      </c>
      <c r="I937" s="267" t="e">
        <f>VLOOKUP('Trial Balance'!$A937,'Code Allocation'!$A:$E,5,0)</f>
        <v>#N/A</v>
      </c>
      <c r="J937" s="268" t="e">
        <f>VLOOKUP('Trial Balance'!$A937,'Code Allocation'!$A:$F,6,0)</f>
        <v>#N/A</v>
      </c>
    </row>
    <row r="938" spans="5:10" ht="12.75" hidden="1" customHeight="1" x14ac:dyDescent="0.25">
      <c r="E938" s="305">
        <f>SUMIF(Adjustments!A:A,A938,Adjustments!C:C)</f>
        <v>0</v>
      </c>
      <c r="F938" s="278">
        <f t="shared" si="13"/>
        <v>0</v>
      </c>
      <c r="G938" s="263" t="e">
        <v>#N/A</v>
      </c>
      <c r="H938" s="266" t="e">
        <f>VLOOKUP('Trial Balance'!$A938,'Code Allocation'!$A:$D,4,0)</f>
        <v>#N/A</v>
      </c>
      <c r="I938" s="267" t="e">
        <f>VLOOKUP('Trial Balance'!$A938,'Code Allocation'!$A:$E,5,0)</f>
        <v>#N/A</v>
      </c>
      <c r="J938" s="268" t="e">
        <f>VLOOKUP('Trial Balance'!$A938,'Code Allocation'!$A:$F,6,0)</f>
        <v>#N/A</v>
      </c>
    </row>
    <row r="939" spans="5:10" ht="12.75" hidden="1" customHeight="1" x14ac:dyDescent="0.25">
      <c r="E939" s="305">
        <f>SUMIF(Adjustments!A:A,A939,Adjustments!C:C)</f>
        <v>0</v>
      </c>
      <c r="F939" s="278">
        <f t="shared" si="13"/>
        <v>0</v>
      </c>
      <c r="G939" s="263" t="e">
        <v>#N/A</v>
      </c>
      <c r="H939" s="266" t="e">
        <f>VLOOKUP('Trial Balance'!$A939,'Code Allocation'!$A:$D,4,0)</f>
        <v>#N/A</v>
      </c>
      <c r="I939" s="267" t="e">
        <f>VLOOKUP('Trial Balance'!$A939,'Code Allocation'!$A:$E,5,0)</f>
        <v>#N/A</v>
      </c>
      <c r="J939" s="268" t="e">
        <f>VLOOKUP('Trial Balance'!$A939,'Code Allocation'!$A:$F,6,0)</f>
        <v>#N/A</v>
      </c>
    </row>
    <row r="940" spans="5:10" ht="12.75" hidden="1" customHeight="1" x14ac:dyDescent="0.25">
      <c r="E940" s="305">
        <f>SUMIF(Adjustments!A:A,A940,Adjustments!C:C)</f>
        <v>0</v>
      </c>
      <c r="F940" s="278">
        <f t="shared" ref="F940:F1003" si="14">C940-D940+E940</f>
        <v>0</v>
      </c>
      <c r="G940" s="263" t="e">
        <v>#N/A</v>
      </c>
      <c r="H940" s="266" t="e">
        <f>VLOOKUP('Trial Balance'!$A940,'Code Allocation'!$A:$D,4,0)</f>
        <v>#N/A</v>
      </c>
      <c r="I940" s="267" t="e">
        <f>VLOOKUP('Trial Balance'!$A940,'Code Allocation'!$A:$E,5,0)</f>
        <v>#N/A</v>
      </c>
      <c r="J940" s="268" t="e">
        <f>VLOOKUP('Trial Balance'!$A940,'Code Allocation'!$A:$F,6,0)</f>
        <v>#N/A</v>
      </c>
    </row>
    <row r="941" spans="5:10" ht="12.75" hidden="1" customHeight="1" x14ac:dyDescent="0.25">
      <c r="E941" s="305">
        <f>SUMIF(Adjustments!A:A,A941,Adjustments!C:C)</f>
        <v>0</v>
      </c>
      <c r="F941" s="278">
        <f t="shared" si="14"/>
        <v>0</v>
      </c>
      <c r="G941" s="263" t="e">
        <v>#N/A</v>
      </c>
      <c r="H941" s="266" t="e">
        <f>VLOOKUP('Trial Balance'!$A941,'Code Allocation'!$A:$D,4,0)</f>
        <v>#N/A</v>
      </c>
      <c r="I941" s="267" t="e">
        <f>VLOOKUP('Trial Balance'!$A941,'Code Allocation'!$A:$E,5,0)</f>
        <v>#N/A</v>
      </c>
      <c r="J941" s="268" t="e">
        <f>VLOOKUP('Trial Balance'!$A941,'Code Allocation'!$A:$F,6,0)</f>
        <v>#N/A</v>
      </c>
    </row>
    <row r="942" spans="5:10" ht="12.75" hidden="1" customHeight="1" x14ac:dyDescent="0.25">
      <c r="E942" s="305">
        <f>SUMIF(Adjustments!A:A,A942,Adjustments!C:C)</f>
        <v>0</v>
      </c>
      <c r="F942" s="278">
        <f t="shared" si="14"/>
        <v>0</v>
      </c>
      <c r="G942" s="263" t="e">
        <v>#N/A</v>
      </c>
      <c r="H942" s="266" t="e">
        <f>VLOOKUP('Trial Balance'!$A942,'Code Allocation'!$A:$D,4,0)</f>
        <v>#N/A</v>
      </c>
      <c r="I942" s="267" t="e">
        <f>VLOOKUP('Trial Balance'!$A942,'Code Allocation'!$A:$E,5,0)</f>
        <v>#N/A</v>
      </c>
      <c r="J942" s="268" t="e">
        <f>VLOOKUP('Trial Balance'!$A942,'Code Allocation'!$A:$F,6,0)</f>
        <v>#N/A</v>
      </c>
    </row>
    <row r="943" spans="5:10" ht="12.75" hidden="1" customHeight="1" x14ac:dyDescent="0.25">
      <c r="E943" s="305">
        <f>SUMIF(Adjustments!A:A,A943,Adjustments!C:C)</f>
        <v>0</v>
      </c>
      <c r="F943" s="278">
        <f t="shared" si="14"/>
        <v>0</v>
      </c>
      <c r="G943" s="263" t="e">
        <v>#N/A</v>
      </c>
      <c r="H943" s="266" t="e">
        <f>VLOOKUP('Trial Balance'!$A943,'Code Allocation'!$A:$D,4,0)</f>
        <v>#N/A</v>
      </c>
      <c r="I943" s="267" t="e">
        <f>VLOOKUP('Trial Balance'!$A943,'Code Allocation'!$A:$E,5,0)</f>
        <v>#N/A</v>
      </c>
      <c r="J943" s="268" t="e">
        <f>VLOOKUP('Trial Balance'!$A943,'Code Allocation'!$A:$F,6,0)</f>
        <v>#N/A</v>
      </c>
    </row>
    <row r="944" spans="5:10" ht="12.75" hidden="1" customHeight="1" x14ac:dyDescent="0.25">
      <c r="E944" s="305">
        <f>SUMIF(Adjustments!A:A,A944,Adjustments!C:C)</f>
        <v>0</v>
      </c>
      <c r="F944" s="278">
        <f t="shared" si="14"/>
        <v>0</v>
      </c>
      <c r="G944" s="263" t="e">
        <v>#N/A</v>
      </c>
      <c r="H944" s="266" t="e">
        <f>VLOOKUP('Trial Balance'!$A944,'Code Allocation'!$A:$D,4,0)</f>
        <v>#N/A</v>
      </c>
      <c r="I944" s="267" t="e">
        <f>VLOOKUP('Trial Balance'!$A944,'Code Allocation'!$A:$E,5,0)</f>
        <v>#N/A</v>
      </c>
      <c r="J944" s="268" t="e">
        <f>VLOOKUP('Trial Balance'!$A944,'Code Allocation'!$A:$F,6,0)</f>
        <v>#N/A</v>
      </c>
    </row>
    <row r="945" spans="5:10" ht="12.75" hidden="1" customHeight="1" x14ac:dyDescent="0.25">
      <c r="E945" s="305">
        <f>SUMIF(Adjustments!A:A,A945,Adjustments!C:C)</f>
        <v>0</v>
      </c>
      <c r="F945" s="278">
        <f t="shared" si="14"/>
        <v>0</v>
      </c>
      <c r="G945" s="263" t="e">
        <v>#N/A</v>
      </c>
      <c r="H945" s="266" t="e">
        <f>VLOOKUP('Trial Balance'!$A945,'Code Allocation'!$A:$D,4,0)</f>
        <v>#N/A</v>
      </c>
      <c r="I945" s="267" t="e">
        <f>VLOOKUP('Trial Balance'!$A945,'Code Allocation'!$A:$E,5,0)</f>
        <v>#N/A</v>
      </c>
      <c r="J945" s="268" t="e">
        <f>VLOOKUP('Trial Balance'!$A945,'Code Allocation'!$A:$F,6,0)</f>
        <v>#N/A</v>
      </c>
    </row>
    <row r="946" spans="5:10" ht="12.75" hidden="1" customHeight="1" x14ac:dyDescent="0.25">
      <c r="E946" s="305">
        <f>SUMIF(Adjustments!A:A,A946,Adjustments!C:C)</f>
        <v>0</v>
      </c>
      <c r="F946" s="278">
        <f t="shared" si="14"/>
        <v>0</v>
      </c>
      <c r="G946" s="263" t="e">
        <v>#N/A</v>
      </c>
      <c r="H946" s="266" t="e">
        <f>VLOOKUP('Trial Balance'!$A946,'Code Allocation'!$A:$D,4,0)</f>
        <v>#N/A</v>
      </c>
      <c r="I946" s="267" t="e">
        <f>VLOOKUP('Trial Balance'!$A946,'Code Allocation'!$A:$E,5,0)</f>
        <v>#N/A</v>
      </c>
      <c r="J946" s="268" t="e">
        <f>VLOOKUP('Trial Balance'!$A946,'Code Allocation'!$A:$F,6,0)</f>
        <v>#N/A</v>
      </c>
    </row>
    <row r="947" spans="5:10" ht="12.75" hidden="1" customHeight="1" x14ac:dyDescent="0.25">
      <c r="E947" s="305">
        <f>SUMIF(Adjustments!A:A,A947,Adjustments!C:C)</f>
        <v>0</v>
      </c>
      <c r="F947" s="278">
        <f t="shared" si="14"/>
        <v>0</v>
      </c>
      <c r="G947" s="263" t="e">
        <v>#N/A</v>
      </c>
      <c r="H947" s="266" t="e">
        <f>VLOOKUP('Trial Balance'!$A947,'Code Allocation'!$A:$D,4,0)</f>
        <v>#N/A</v>
      </c>
      <c r="I947" s="267" t="e">
        <f>VLOOKUP('Trial Balance'!$A947,'Code Allocation'!$A:$E,5,0)</f>
        <v>#N/A</v>
      </c>
      <c r="J947" s="268" t="e">
        <f>VLOOKUP('Trial Balance'!$A947,'Code Allocation'!$A:$F,6,0)</f>
        <v>#N/A</v>
      </c>
    </row>
    <row r="948" spans="5:10" ht="12.75" hidden="1" customHeight="1" x14ac:dyDescent="0.25">
      <c r="E948" s="305">
        <f>SUMIF(Adjustments!A:A,A948,Adjustments!C:C)</f>
        <v>0</v>
      </c>
      <c r="F948" s="278">
        <f t="shared" si="14"/>
        <v>0</v>
      </c>
      <c r="G948" s="263" t="e">
        <v>#N/A</v>
      </c>
      <c r="H948" s="266" t="e">
        <f>VLOOKUP('Trial Balance'!$A948,'Code Allocation'!$A:$D,4,0)</f>
        <v>#N/A</v>
      </c>
      <c r="I948" s="267" t="e">
        <f>VLOOKUP('Trial Balance'!$A948,'Code Allocation'!$A:$E,5,0)</f>
        <v>#N/A</v>
      </c>
      <c r="J948" s="268" t="e">
        <f>VLOOKUP('Trial Balance'!$A948,'Code Allocation'!$A:$F,6,0)</f>
        <v>#N/A</v>
      </c>
    </row>
    <row r="949" spans="5:10" ht="12.75" hidden="1" customHeight="1" x14ac:dyDescent="0.25">
      <c r="E949" s="305">
        <f>SUMIF(Adjustments!A:A,A949,Adjustments!C:C)</f>
        <v>0</v>
      </c>
      <c r="F949" s="278">
        <f t="shared" si="14"/>
        <v>0</v>
      </c>
      <c r="G949" s="263" t="e">
        <v>#N/A</v>
      </c>
      <c r="H949" s="266" t="e">
        <f>VLOOKUP('Trial Balance'!$A949,'Code Allocation'!$A:$D,4,0)</f>
        <v>#N/A</v>
      </c>
      <c r="I949" s="267" t="e">
        <f>VLOOKUP('Trial Balance'!$A949,'Code Allocation'!$A:$E,5,0)</f>
        <v>#N/A</v>
      </c>
      <c r="J949" s="268" t="e">
        <f>VLOOKUP('Trial Balance'!$A949,'Code Allocation'!$A:$F,6,0)</f>
        <v>#N/A</v>
      </c>
    </row>
    <row r="950" spans="5:10" ht="12.75" hidden="1" customHeight="1" x14ac:dyDescent="0.25">
      <c r="E950" s="305">
        <f>SUMIF(Adjustments!A:A,A950,Adjustments!C:C)</f>
        <v>0</v>
      </c>
      <c r="F950" s="278">
        <f t="shared" si="14"/>
        <v>0</v>
      </c>
      <c r="G950" s="263" t="e">
        <v>#N/A</v>
      </c>
      <c r="H950" s="266" t="e">
        <f>VLOOKUP('Trial Balance'!$A950,'Code Allocation'!$A:$D,4,0)</f>
        <v>#N/A</v>
      </c>
      <c r="I950" s="267" t="e">
        <f>VLOOKUP('Trial Balance'!$A950,'Code Allocation'!$A:$E,5,0)</f>
        <v>#N/A</v>
      </c>
      <c r="J950" s="268" t="e">
        <f>VLOOKUP('Trial Balance'!$A950,'Code Allocation'!$A:$F,6,0)</f>
        <v>#N/A</v>
      </c>
    </row>
    <row r="951" spans="5:10" ht="12.75" hidden="1" customHeight="1" x14ac:dyDescent="0.25">
      <c r="E951" s="305">
        <f>SUMIF(Adjustments!A:A,A951,Adjustments!C:C)</f>
        <v>0</v>
      </c>
      <c r="F951" s="278">
        <f t="shared" si="14"/>
        <v>0</v>
      </c>
      <c r="G951" s="263" t="e">
        <v>#N/A</v>
      </c>
      <c r="H951" s="266" t="e">
        <f>VLOOKUP('Trial Balance'!$A951,'Code Allocation'!$A:$D,4,0)</f>
        <v>#N/A</v>
      </c>
      <c r="I951" s="267" t="e">
        <f>VLOOKUP('Trial Balance'!$A951,'Code Allocation'!$A:$E,5,0)</f>
        <v>#N/A</v>
      </c>
      <c r="J951" s="268" t="e">
        <f>VLOOKUP('Trial Balance'!$A951,'Code Allocation'!$A:$F,6,0)</f>
        <v>#N/A</v>
      </c>
    </row>
    <row r="952" spans="5:10" ht="12.75" hidden="1" customHeight="1" x14ac:dyDescent="0.25">
      <c r="E952" s="305">
        <f>SUMIF(Adjustments!A:A,A952,Adjustments!C:C)</f>
        <v>0</v>
      </c>
      <c r="F952" s="278">
        <f t="shared" si="14"/>
        <v>0</v>
      </c>
      <c r="G952" s="263" t="e">
        <v>#N/A</v>
      </c>
      <c r="H952" s="266" t="e">
        <f>VLOOKUP('Trial Balance'!$A952,'Code Allocation'!$A:$D,4,0)</f>
        <v>#N/A</v>
      </c>
      <c r="I952" s="267" t="e">
        <f>VLOOKUP('Trial Balance'!$A952,'Code Allocation'!$A:$E,5,0)</f>
        <v>#N/A</v>
      </c>
      <c r="J952" s="268" t="e">
        <f>VLOOKUP('Trial Balance'!$A952,'Code Allocation'!$A:$F,6,0)</f>
        <v>#N/A</v>
      </c>
    </row>
    <row r="953" spans="5:10" ht="12.75" hidden="1" customHeight="1" x14ac:dyDescent="0.25">
      <c r="E953" s="305">
        <f>SUMIF(Adjustments!A:A,A953,Adjustments!C:C)</f>
        <v>0</v>
      </c>
      <c r="F953" s="278">
        <f t="shared" si="14"/>
        <v>0</v>
      </c>
      <c r="G953" s="263" t="e">
        <v>#N/A</v>
      </c>
      <c r="H953" s="266" t="e">
        <f>VLOOKUP('Trial Balance'!$A953,'Code Allocation'!$A:$D,4,0)</f>
        <v>#N/A</v>
      </c>
      <c r="I953" s="267" t="e">
        <f>VLOOKUP('Trial Balance'!$A953,'Code Allocation'!$A:$E,5,0)</f>
        <v>#N/A</v>
      </c>
      <c r="J953" s="268" t="e">
        <f>VLOOKUP('Trial Balance'!$A953,'Code Allocation'!$A:$F,6,0)</f>
        <v>#N/A</v>
      </c>
    </row>
    <row r="954" spans="5:10" ht="12.75" hidden="1" customHeight="1" x14ac:dyDescent="0.25">
      <c r="E954" s="305">
        <f>SUMIF(Adjustments!A:A,A954,Adjustments!C:C)</f>
        <v>0</v>
      </c>
      <c r="F954" s="278">
        <f t="shared" si="14"/>
        <v>0</v>
      </c>
      <c r="G954" s="263" t="e">
        <v>#N/A</v>
      </c>
      <c r="H954" s="266" t="e">
        <f>VLOOKUP('Trial Balance'!$A954,'Code Allocation'!$A:$D,4,0)</f>
        <v>#N/A</v>
      </c>
      <c r="I954" s="267" t="e">
        <f>VLOOKUP('Trial Balance'!$A954,'Code Allocation'!$A:$E,5,0)</f>
        <v>#N/A</v>
      </c>
      <c r="J954" s="268" t="e">
        <f>VLOOKUP('Trial Balance'!$A954,'Code Allocation'!$A:$F,6,0)</f>
        <v>#N/A</v>
      </c>
    </row>
    <row r="955" spans="5:10" ht="12.75" hidden="1" customHeight="1" x14ac:dyDescent="0.25">
      <c r="E955" s="305">
        <f>SUMIF(Adjustments!A:A,A955,Adjustments!C:C)</f>
        <v>0</v>
      </c>
      <c r="F955" s="278">
        <f t="shared" si="14"/>
        <v>0</v>
      </c>
      <c r="G955" s="263" t="e">
        <v>#N/A</v>
      </c>
      <c r="H955" s="266" t="e">
        <f>VLOOKUP('Trial Balance'!$A955,'Code Allocation'!$A:$D,4,0)</f>
        <v>#N/A</v>
      </c>
      <c r="I955" s="267" t="e">
        <f>VLOOKUP('Trial Balance'!$A955,'Code Allocation'!$A:$E,5,0)</f>
        <v>#N/A</v>
      </c>
      <c r="J955" s="268" t="e">
        <f>VLOOKUP('Trial Balance'!$A955,'Code Allocation'!$A:$F,6,0)</f>
        <v>#N/A</v>
      </c>
    </row>
    <row r="956" spans="5:10" ht="12.75" hidden="1" customHeight="1" x14ac:dyDescent="0.25">
      <c r="E956" s="305">
        <f>SUMIF(Adjustments!A:A,A956,Adjustments!C:C)</f>
        <v>0</v>
      </c>
      <c r="F956" s="278">
        <f t="shared" si="14"/>
        <v>0</v>
      </c>
      <c r="G956" s="263" t="e">
        <v>#N/A</v>
      </c>
      <c r="H956" s="266" t="e">
        <f>VLOOKUP('Trial Balance'!$A956,'Code Allocation'!$A:$D,4,0)</f>
        <v>#N/A</v>
      </c>
      <c r="I956" s="267" t="e">
        <f>VLOOKUP('Trial Balance'!$A956,'Code Allocation'!$A:$E,5,0)</f>
        <v>#N/A</v>
      </c>
      <c r="J956" s="268" t="e">
        <f>VLOOKUP('Trial Balance'!$A956,'Code Allocation'!$A:$F,6,0)</f>
        <v>#N/A</v>
      </c>
    </row>
    <row r="957" spans="5:10" ht="12.75" hidden="1" customHeight="1" x14ac:dyDescent="0.25">
      <c r="E957" s="305">
        <f>SUMIF(Adjustments!A:A,A957,Adjustments!C:C)</f>
        <v>0</v>
      </c>
      <c r="F957" s="278">
        <f t="shared" si="14"/>
        <v>0</v>
      </c>
      <c r="G957" s="263" t="e">
        <v>#N/A</v>
      </c>
      <c r="H957" s="266" t="e">
        <f>VLOOKUP('Trial Balance'!$A957,'Code Allocation'!$A:$D,4,0)</f>
        <v>#N/A</v>
      </c>
      <c r="I957" s="267" t="e">
        <f>VLOOKUP('Trial Balance'!$A957,'Code Allocation'!$A:$E,5,0)</f>
        <v>#N/A</v>
      </c>
      <c r="J957" s="268" t="e">
        <f>VLOOKUP('Trial Balance'!$A957,'Code Allocation'!$A:$F,6,0)</f>
        <v>#N/A</v>
      </c>
    </row>
    <row r="958" spans="5:10" ht="12.75" hidden="1" customHeight="1" x14ac:dyDescent="0.25">
      <c r="E958" s="305">
        <f>SUMIF(Adjustments!A:A,A958,Adjustments!C:C)</f>
        <v>0</v>
      </c>
      <c r="F958" s="278">
        <f t="shared" si="14"/>
        <v>0</v>
      </c>
      <c r="G958" s="263" t="e">
        <v>#N/A</v>
      </c>
      <c r="H958" s="266" t="e">
        <f>VLOOKUP('Trial Balance'!$A958,'Code Allocation'!$A:$D,4,0)</f>
        <v>#N/A</v>
      </c>
      <c r="I958" s="267" t="e">
        <f>VLOOKUP('Trial Balance'!$A958,'Code Allocation'!$A:$E,5,0)</f>
        <v>#N/A</v>
      </c>
      <c r="J958" s="268" t="e">
        <f>VLOOKUP('Trial Balance'!$A958,'Code Allocation'!$A:$F,6,0)</f>
        <v>#N/A</v>
      </c>
    </row>
    <row r="959" spans="5:10" ht="12.75" hidden="1" customHeight="1" x14ac:dyDescent="0.25">
      <c r="E959" s="305">
        <f>SUMIF(Adjustments!A:A,A959,Adjustments!C:C)</f>
        <v>0</v>
      </c>
      <c r="F959" s="278">
        <f t="shared" si="14"/>
        <v>0</v>
      </c>
      <c r="G959" s="263" t="e">
        <v>#N/A</v>
      </c>
      <c r="H959" s="266" t="e">
        <f>VLOOKUP('Trial Balance'!$A959,'Code Allocation'!$A:$D,4,0)</f>
        <v>#N/A</v>
      </c>
      <c r="I959" s="267" t="e">
        <f>VLOOKUP('Trial Balance'!$A959,'Code Allocation'!$A:$E,5,0)</f>
        <v>#N/A</v>
      </c>
      <c r="J959" s="268" t="e">
        <f>VLOOKUP('Trial Balance'!$A959,'Code Allocation'!$A:$F,6,0)</f>
        <v>#N/A</v>
      </c>
    </row>
    <row r="960" spans="5:10" ht="12.75" hidden="1" customHeight="1" x14ac:dyDescent="0.25">
      <c r="E960" s="305">
        <f>SUMIF(Adjustments!A:A,A960,Adjustments!C:C)</f>
        <v>0</v>
      </c>
      <c r="F960" s="278">
        <f t="shared" si="14"/>
        <v>0</v>
      </c>
      <c r="G960" s="263" t="e">
        <v>#N/A</v>
      </c>
      <c r="H960" s="266" t="e">
        <f>VLOOKUP('Trial Balance'!$A960,'Code Allocation'!$A:$D,4,0)</f>
        <v>#N/A</v>
      </c>
      <c r="I960" s="267" t="e">
        <f>VLOOKUP('Trial Balance'!$A960,'Code Allocation'!$A:$E,5,0)</f>
        <v>#N/A</v>
      </c>
      <c r="J960" s="268" t="e">
        <f>VLOOKUP('Trial Balance'!$A960,'Code Allocation'!$A:$F,6,0)</f>
        <v>#N/A</v>
      </c>
    </row>
    <row r="961" spans="5:10" ht="12.75" hidden="1" customHeight="1" x14ac:dyDescent="0.25">
      <c r="E961" s="305">
        <f>SUMIF(Adjustments!A:A,A961,Adjustments!C:C)</f>
        <v>0</v>
      </c>
      <c r="F961" s="278">
        <f t="shared" si="14"/>
        <v>0</v>
      </c>
      <c r="G961" s="263" t="e">
        <v>#N/A</v>
      </c>
      <c r="H961" s="266" t="e">
        <f>VLOOKUP('Trial Balance'!$A961,'Code Allocation'!$A:$D,4,0)</f>
        <v>#N/A</v>
      </c>
      <c r="I961" s="267" t="e">
        <f>VLOOKUP('Trial Balance'!$A961,'Code Allocation'!$A:$E,5,0)</f>
        <v>#N/A</v>
      </c>
      <c r="J961" s="268" t="e">
        <f>VLOOKUP('Trial Balance'!$A961,'Code Allocation'!$A:$F,6,0)</f>
        <v>#N/A</v>
      </c>
    </row>
    <row r="962" spans="5:10" ht="12.75" hidden="1" customHeight="1" x14ac:dyDescent="0.25">
      <c r="E962" s="305">
        <f>SUMIF(Adjustments!A:A,A962,Adjustments!C:C)</f>
        <v>0</v>
      </c>
      <c r="F962" s="278">
        <f t="shared" si="14"/>
        <v>0</v>
      </c>
      <c r="G962" s="263" t="e">
        <v>#N/A</v>
      </c>
      <c r="H962" s="266" t="e">
        <f>VLOOKUP('Trial Balance'!$A962,'Code Allocation'!$A:$D,4,0)</f>
        <v>#N/A</v>
      </c>
      <c r="I962" s="267" t="e">
        <f>VLOOKUP('Trial Balance'!$A962,'Code Allocation'!$A:$E,5,0)</f>
        <v>#N/A</v>
      </c>
      <c r="J962" s="268" t="e">
        <f>VLOOKUP('Trial Balance'!$A962,'Code Allocation'!$A:$F,6,0)</f>
        <v>#N/A</v>
      </c>
    </row>
    <row r="963" spans="5:10" ht="12.75" hidden="1" customHeight="1" x14ac:dyDescent="0.25">
      <c r="E963" s="305">
        <f>SUMIF(Adjustments!A:A,A963,Adjustments!C:C)</f>
        <v>0</v>
      </c>
      <c r="F963" s="278">
        <f t="shared" si="14"/>
        <v>0</v>
      </c>
      <c r="G963" s="263" t="e">
        <v>#N/A</v>
      </c>
      <c r="H963" s="266" t="e">
        <f>VLOOKUP('Trial Balance'!$A963,'Code Allocation'!$A:$D,4,0)</f>
        <v>#N/A</v>
      </c>
      <c r="I963" s="267" t="e">
        <f>VLOOKUP('Trial Balance'!$A963,'Code Allocation'!$A:$E,5,0)</f>
        <v>#N/A</v>
      </c>
      <c r="J963" s="268" t="e">
        <f>VLOOKUP('Trial Balance'!$A963,'Code Allocation'!$A:$F,6,0)</f>
        <v>#N/A</v>
      </c>
    </row>
    <row r="964" spans="5:10" ht="12.75" hidden="1" customHeight="1" x14ac:dyDescent="0.25">
      <c r="E964" s="305">
        <f>SUMIF(Adjustments!A:A,A964,Adjustments!C:C)</f>
        <v>0</v>
      </c>
      <c r="F964" s="278">
        <f t="shared" si="14"/>
        <v>0</v>
      </c>
      <c r="G964" s="263" t="e">
        <v>#N/A</v>
      </c>
      <c r="H964" s="266" t="e">
        <f>VLOOKUP('Trial Balance'!$A964,'Code Allocation'!$A:$D,4,0)</f>
        <v>#N/A</v>
      </c>
      <c r="I964" s="267" t="e">
        <f>VLOOKUP('Trial Balance'!$A964,'Code Allocation'!$A:$E,5,0)</f>
        <v>#N/A</v>
      </c>
      <c r="J964" s="268" t="e">
        <f>VLOOKUP('Trial Balance'!$A964,'Code Allocation'!$A:$F,6,0)</f>
        <v>#N/A</v>
      </c>
    </row>
    <row r="965" spans="5:10" ht="12.75" hidden="1" customHeight="1" x14ac:dyDescent="0.25">
      <c r="E965" s="305">
        <f>SUMIF(Adjustments!A:A,A965,Adjustments!C:C)</f>
        <v>0</v>
      </c>
      <c r="F965" s="278">
        <f t="shared" si="14"/>
        <v>0</v>
      </c>
      <c r="G965" s="263" t="e">
        <v>#N/A</v>
      </c>
      <c r="H965" s="266" t="e">
        <f>VLOOKUP('Trial Balance'!$A965,'Code Allocation'!$A:$D,4,0)</f>
        <v>#N/A</v>
      </c>
      <c r="I965" s="267" t="e">
        <f>VLOOKUP('Trial Balance'!$A965,'Code Allocation'!$A:$E,5,0)</f>
        <v>#N/A</v>
      </c>
      <c r="J965" s="268" t="e">
        <f>VLOOKUP('Trial Balance'!$A965,'Code Allocation'!$A:$F,6,0)</f>
        <v>#N/A</v>
      </c>
    </row>
    <row r="966" spans="5:10" ht="12.75" hidden="1" customHeight="1" x14ac:dyDescent="0.25">
      <c r="E966" s="305">
        <f>SUMIF(Adjustments!A:A,A966,Adjustments!C:C)</f>
        <v>0</v>
      </c>
      <c r="F966" s="278">
        <f t="shared" si="14"/>
        <v>0</v>
      </c>
      <c r="G966" s="263" t="e">
        <v>#N/A</v>
      </c>
      <c r="H966" s="266" t="e">
        <f>VLOOKUP('Trial Balance'!$A966,'Code Allocation'!$A:$D,4,0)</f>
        <v>#N/A</v>
      </c>
      <c r="I966" s="267" t="e">
        <f>VLOOKUP('Trial Balance'!$A966,'Code Allocation'!$A:$E,5,0)</f>
        <v>#N/A</v>
      </c>
      <c r="J966" s="268" t="e">
        <f>VLOOKUP('Trial Balance'!$A966,'Code Allocation'!$A:$F,6,0)</f>
        <v>#N/A</v>
      </c>
    </row>
    <row r="967" spans="5:10" ht="12.75" hidden="1" customHeight="1" x14ac:dyDescent="0.25">
      <c r="E967" s="305">
        <f>SUMIF(Adjustments!A:A,A967,Adjustments!C:C)</f>
        <v>0</v>
      </c>
      <c r="F967" s="278">
        <f t="shared" si="14"/>
        <v>0</v>
      </c>
      <c r="G967" s="263" t="e">
        <v>#N/A</v>
      </c>
      <c r="H967" s="266" t="e">
        <f>VLOOKUP('Trial Balance'!$A967,'Code Allocation'!$A:$D,4,0)</f>
        <v>#N/A</v>
      </c>
      <c r="I967" s="267" t="e">
        <f>VLOOKUP('Trial Balance'!$A967,'Code Allocation'!$A:$E,5,0)</f>
        <v>#N/A</v>
      </c>
      <c r="J967" s="268" t="e">
        <f>VLOOKUP('Trial Balance'!$A967,'Code Allocation'!$A:$F,6,0)</f>
        <v>#N/A</v>
      </c>
    </row>
    <row r="968" spans="5:10" ht="12.75" hidden="1" customHeight="1" x14ac:dyDescent="0.25">
      <c r="E968" s="305">
        <f>SUMIF(Adjustments!A:A,A968,Adjustments!C:C)</f>
        <v>0</v>
      </c>
      <c r="F968" s="278">
        <f t="shared" si="14"/>
        <v>0</v>
      </c>
      <c r="G968" s="263" t="e">
        <v>#N/A</v>
      </c>
      <c r="H968" s="266" t="e">
        <f>VLOOKUP('Trial Balance'!$A968,'Code Allocation'!$A:$D,4,0)</f>
        <v>#N/A</v>
      </c>
      <c r="I968" s="267" t="e">
        <f>VLOOKUP('Trial Balance'!$A968,'Code Allocation'!$A:$E,5,0)</f>
        <v>#N/A</v>
      </c>
      <c r="J968" s="268" t="e">
        <f>VLOOKUP('Trial Balance'!$A968,'Code Allocation'!$A:$F,6,0)</f>
        <v>#N/A</v>
      </c>
    </row>
    <row r="969" spans="5:10" ht="12.75" hidden="1" customHeight="1" x14ac:dyDescent="0.25">
      <c r="E969" s="305">
        <f>SUMIF(Adjustments!A:A,A969,Adjustments!C:C)</f>
        <v>0</v>
      </c>
      <c r="F969" s="278">
        <f t="shared" si="14"/>
        <v>0</v>
      </c>
      <c r="G969" s="263" t="e">
        <v>#N/A</v>
      </c>
      <c r="H969" s="266" t="e">
        <f>VLOOKUP('Trial Balance'!$A969,'Code Allocation'!$A:$D,4,0)</f>
        <v>#N/A</v>
      </c>
      <c r="I969" s="267" t="e">
        <f>VLOOKUP('Trial Balance'!$A969,'Code Allocation'!$A:$E,5,0)</f>
        <v>#N/A</v>
      </c>
      <c r="J969" s="268" t="e">
        <f>VLOOKUP('Trial Balance'!$A969,'Code Allocation'!$A:$F,6,0)</f>
        <v>#N/A</v>
      </c>
    </row>
    <row r="970" spans="5:10" ht="12.75" hidden="1" customHeight="1" x14ac:dyDescent="0.25">
      <c r="E970" s="305">
        <f>SUMIF(Adjustments!A:A,A970,Adjustments!C:C)</f>
        <v>0</v>
      </c>
      <c r="F970" s="278">
        <f t="shared" si="14"/>
        <v>0</v>
      </c>
      <c r="G970" s="263" t="e">
        <v>#N/A</v>
      </c>
      <c r="H970" s="266" t="e">
        <f>VLOOKUP('Trial Balance'!$A970,'Code Allocation'!$A:$D,4,0)</f>
        <v>#N/A</v>
      </c>
      <c r="I970" s="267" t="e">
        <f>VLOOKUP('Trial Balance'!$A970,'Code Allocation'!$A:$E,5,0)</f>
        <v>#N/A</v>
      </c>
      <c r="J970" s="268" t="e">
        <f>VLOOKUP('Trial Balance'!$A970,'Code Allocation'!$A:$F,6,0)</f>
        <v>#N/A</v>
      </c>
    </row>
    <row r="971" spans="5:10" ht="12.75" hidden="1" customHeight="1" x14ac:dyDescent="0.25">
      <c r="E971" s="305">
        <f>SUMIF(Adjustments!A:A,A971,Adjustments!C:C)</f>
        <v>0</v>
      </c>
      <c r="F971" s="278">
        <f t="shared" si="14"/>
        <v>0</v>
      </c>
      <c r="G971" s="263" t="e">
        <v>#N/A</v>
      </c>
      <c r="H971" s="266" t="e">
        <f>VLOOKUP('Trial Balance'!$A971,'Code Allocation'!$A:$D,4,0)</f>
        <v>#N/A</v>
      </c>
      <c r="I971" s="267" t="e">
        <f>VLOOKUP('Trial Balance'!$A971,'Code Allocation'!$A:$E,5,0)</f>
        <v>#N/A</v>
      </c>
      <c r="J971" s="268" t="e">
        <f>VLOOKUP('Trial Balance'!$A971,'Code Allocation'!$A:$F,6,0)</f>
        <v>#N/A</v>
      </c>
    </row>
    <row r="972" spans="5:10" ht="12.75" hidden="1" customHeight="1" x14ac:dyDescent="0.25">
      <c r="E972" s="305">
        <f>SUMIF(Adjustments!A:A,A972,Adjustments!C:C)</f>
        <v>0</v>
      </c>
      <c r="F972" s="278">
        <f t="shared" si="14"/>
        <v>0</v>
      </c>
      <c r="G972" s="263" t="e">
        <v>#N/A</v>
      </c>
      <c r="H972" s="266" t="e">
        <f>VLOOKUP('Trial Balance'!$A972,'Code Allocation'!$A:$D,4,0)</f>
        <v>#N/A</v>
      </c>
      <c r="I972" s="267" t="e">
        <f>VLOOKUP('Trial Balance'!$A972,'Code Allocation'!$A:$E,5,0)</f>
        <v>#N/A</v>
      </c>
      <c r="J972" s="268" t="e">
        <f>VLOOKUP('Trial Balance'!$A972,'Code Allocation'!$A:$F,6,0)</f>
        <v>#N/A</v>
      </c>
    </row>
    <row r="973" spans="5:10" ht="12.75" hidden="1" customHeight="1" x14ac:dyDescent="0.25">
      <c r="E973" s="305">
        <f>SUMIF(Adjustments!A:A,A973,Adjustments!C:C)</f>
        <v>0</v>
      </c>
      <c r="F973" s="278">
        <f t="shared" si="14"/>
        <v>0</v>
      </c>
      <c r="G973" s="263" t="e">
        <v>#N/A</v>
      </c>
      <c r="H973" s="266" t="e">
        <f>VLOOKUP('Trial Balance'!$A973,'Code Allocation'!$A:$D,4,0)</f>
        <v>#N/A</v>
      </c>
      <c r="I973" s="267" t="e">
        <f>VLOOKUP('Trial Balance'!$A973,'Code Allocation'!$A:$E,5,0)</f>
        <v>#N/A</v>
      </c>
      <c r="J973" s="268" t="e">
        <f>VLOOKUP('Trial Balance'!$A973,'Code Allocation'!$A:$F,6,0)</f>
        <v>#N/A</v>
      </c>
    </row>
    <row r="974" spans="5:10" ht="12.75" hidden="1" customHeight="1" x14ac:dyDescent="0.25">
      <c r="E974" s="305">
        <f>SUMIF(Adjustments!A:A,A974,Adjustments!C:C)</f>
        <v>0</v>
      </c>
      <c r="F974" s="278">
        <f t="shared" si="14"/>
        <v>0</v>
      </c>
      <c r="G974" s="263" t="e">
        <v>#N/A</v>
      </c>
      <c r="H974" s="266" t="e">
        <f>VLOOKUP('Trial Balance'!$A974,'Code Allocation'!$A:$D,4,0)</f>
        <v>#N/A</v>
      </c>
      <c r="I974" s="267" t="e">
        <f>VLOOKUP('Trial Balance'!$A974,'Code Allocation'!$A:$E,5,0)</f>
        <v>#N/A</v>
      </c>
      <c r="J974" s="268" t="e">
        <f>VLOOKUP('Trial Balance'!$A974,'Code Allocation'!$A:$F,6,0)</f>
        <v>#N/A</v>
      </c>
    </row>
    <row r="975" spans="5:10" ht="12.75" hidden="1" customHeight="1" x14ac:dyDescent="0.25">
      <c r="E975" s="305">
        <f>SUMIF(Adjustments!A:A,A975,Adjustments!C:C)</f>
        <v>0</v>
      </c>
      <c r="F975" s="278">
        <f t="shared" si="14"/>
        <v>0</v>
      </c>
      <c r="G975" s="263" t="e">
        <v>#N/A</v>
      </c>
      <c r="H975" s="266" t="e">
        <f>VLOOKUP('Trial Balance'!$A975,'Code Allocation'!$A:$D,4,0)</f>
        <v>#N/A</v>
      </c>
      <c r="I975" s="267" t="e">
        <f>VLOOKUP('Trial Balance'!$A975,'Code Allocation'!$A:$E,5,0)</f>
        <v>#N/A</v>
      </c>
      <c r="J975" s="268" t="e">
        <f>VLOOKUP('Trial Balance'!$A975,'Code Allocation'!$A:$F,6,0)</f>
        <v>#N/A</v>
      </c>
    </row>
    <row r="976" spans="5:10" ht="12.75" hidden="1" customHeight="1" x14ac:dyDescent="0.25">
      <c r="E976" s="305">
        <f>SUMIF(Adjustments!A:A,A976,Adjustments!C:C)</f>
        <v>0</v>
      </c>
      <c r="F976" s="278">
        <f t="shared" si="14"/>
        <v>0</v>
      </c>
      <c r="G976" s="263" t="e">
        <v>#N/A</v>
      </c>
      <c r="H976" s="266" t="e">
        <f>VLOOKUP('Trial Balance'!$A976,'Code Allocation'!$A:$D,4,0)</f>
        <v>#N/A</v>
      </c>
      <c r="I976" s="267" t="e">
        <f>VLOOKUP('Trial Balance'!$A976,'Code Allocation'!$A:$E,5,0)</f>
        <v>#N/A</v>
      </c>
      <c r="J976" s="268" t="e">
        <f>VLOOKUP('Trial Balance'!$A976,'Code Allocation'!$A:$F,6,0)</f>
        <v>#N/A</v>
      </c>
    </row>
    <row r="977" spans="5:10" ht="12.75" hidden="1" customHeight="1" x14ac:dyDescent="0.25">
      <c r="E977" s="305">
        <f>SUMIF(Adjustments!A:A,A977,Adjustments!C:C)</f>
        <v>0</v>
      </c>
      <c r="F977" s="278">
        <f t="shared" si="14"/>
        <v>0</v>
      </c>
      <c r="G977" s="263" t="e">
        <v>#N/A</v>
      </c>
      <c r="H977" s="266" t="e">
        <f>VLOOKUP('Trial Balance'!$A977,'Code Allocation'!$A:$D,4,0)</f>
        <v>#N/A</v>
      </c>
      <c r="I977" s="267" t="e">
        <f>VLOOKUP('Trial Balance'!$A977,'Code Allocation'!$A:$E,5,0)</f>
        <v>#N/A</v>
      </c>
      <c r="J977" s="268" t="e">
        <f>VLOOKUP('Trial Balance'!$A977,'Code Allocation'!$A:$F,6,0)</f>
        <v>#N/A</v>
      </c>
    </row>
    <row r="978" spans="5:10" ht="12.75" hidden="1" customHeight="1" x14ac:dyDescent="0.25">
      <c r="E978" s="305">
        <f>SUMIF(Adjustments!A:A,A978,Adjustments!C:C)</f>
        <v>0</v>
      </c>
      <c r="F978" s="278">
        <f t="shared" si="14"/>
        <v>0</v>
      </c>
      <c r="G978" s="263" t="e">
        <v>#N/A</v>
      </c>
      <c r="H978" s="266" t="e">
        <f>VLOOKUP('Trial Balance'!$A978,'Code Allocation'!$A:$D,4,0)</f>
        <v>#N/A</v>
      </c>
      <c r="I978" s="267" t="e">
        <f>VLOOKUP('Trial Balance'!$A978,'Code Allocation'!$A:$E,5,0)</f>
        <v>#N/A</v>
      </c>
      <c r="J978" s="268" t="e">
        <f>VLOOKUP('Trial Balance'!$A978,'Code Allocation'!$A:$F,6,0)</f>
        <v>#N/A</v>
      </c>
    </row>
    <row r="979" spans="5:10" ht="12.75" hidden="1" customHeight="1" x14ac:dyDescent="0.25">
      <c r="E979" s="305">
        <f>SUMIF(Adjustments!A:A,A979,Adjustments!C:C)</f>
        <v>0</v>
      </c>
      <c r="F979" s="278">
        <f t="shared" si="14"/>
        <v>0</v>
      </c>
      <c r="G979" s="263" t="e">
        <v>#N/A</v>
      </c>
      <c r="H979" s="266" t="e">
        <f>VLOOKUP('Trial Balance'!$A979,'Code Allocation'!$A:$D,4,0)</f>
        <v>#N/A</v>
      </c>
      <c r="I979" s="267" t="e">
        <f>VLOOKUP('Trial Balance'!$A979,'Code Allocation'!$A:$E,5,0)</f>
        <v>#N/A</v>
      </c>
      <c r="J979" s="268" t="e">
        <f>VLOOKUP('Trial Balance'!$A979,'Code Allocation'!$A:$F,6,0)</f>
        <v>#N/A</v>
      </c>
    </row>
    <row r="980" spans="5:10" ht="12.75" hidden="1" customHeight="1" x14ac:dyDescent="0.25">
      <c r="E980" s="305">
        <f>SUMIF(Adjustments!A:A,A980,Adjustments!C:C)</f>
        <v>0</v>
      </c>
      <c r="F980" s="278">
        <f t="shared" si="14"/>
        <v>0</v>
      </c>
      <c r="G980" s="263" t="e">
        <v>#N/A</v>
      </c>
      <c r="H980" s="266" t="e">
        <f>VLOOKUP('Trial Balance'!$A980,'Code Allocation'!$A:$D,4,0)</f>
        <v>#N/A</v>
      </c>
      <c r="I980" s="267" t="e">
        <f>VLOOKUP('Trial Balance'!$A980,'Code Allocation'!$A:$E,5,0)</f>
        <v>#N/A</v>
      </c>
      <c r="J980" s="268" t="e">
        <f>VLOOKUP('Trial Balance'!$A980,'Code Allocation'!$A:$F,6,0)</f>
        <v>#N/A</v>
      </c>
    </row>
    <row r="981" spans="5:10" ht="12.75" hidden="1" customHeight="1" x14ac:dyDescent="0.25">
      <c r="E981" s="305">
        <f>SUMIF(Adjustments!A:A,A981,Adjustments!C:C)</f>
        <v>0</v>
      </c>
      <c r="F981" s="278">
        <f t="shared" si="14"/>
        <v>0</v>
      </c>
      <c r="G981" s="263" t="e">
        <v>#N/A</v>
      </c>
      <c r="H981" s="266" t="e">
        <f>VLOOKUP('Trial Balance'!$A981,'Code Allocation'!$A:$D,4,0)</f>
        <v>#N/A</v>
      </c>
      <c r="I981" s="267" t="e">
        <f>VLOOKUP('Trial Balance'!$A981,'Code Allocation'!$A:$E,5,0)</f>
        <v>#N/A</v>
      </c>
      <c r="J981" s="268" t="e">
        <f>VLOOKUP('Trial Balance'!$A981,'Code Allocation'!$A:$F,6,0)</f>
        <v>#N/A</v>
      </c>
    </row>
    <row r="982" spans="5:10" ht="12.75" hidden="1" customHeight="1" x14ac:dyDescent="0.25">
      <c r="E982" s="305">
        <f>SUMIF(Adjustments!A:A,A982,Adjustments!C:C)</f>
        <v>0</v>
      </c>
      <c r="F982" s="278">
        <f t="shared" si="14"/>
        <v>0</v>
      </c>
      <c r="G982" s="263" t="e">
        <v>#N/A</v>
      </c>
      <c r="H982" s="266" t="e">
        <f>VLOOKUP('Trial Balance'!$A982,'Code Allocation'!$A:$D,4,0)</f>
        <v>#N/A</v>
      </c>
      <c r="I982" s="267" t="e">
        <f>VLOOKUP('Trial Balance'!$A982,'Code Allocation'!$A:$E,5,0)</f>
        <v>#N/A</v>
      </c>
      <c r="J982" s="268" t="e">
        <f>VLOOKUP('Trial Balance'!$A982,'Code Allocation'!$A:$F,6,0)</f>
        <v>#N/A</v>
      </c>
    </row>
    <row r="983" spans="5:10" ht="12.75" hidden="1" customHeight="1" x14ac:dyDescent="0.25">
      <c r="E983" s="305">
        <f>SUMIF(Adjustments!A:A,A983,Adjustments!C:C)</f>
        <v>0</v>
      </c>
      <c r="F983" s="278">
        <f t="shared" si="14"/>
        <v>0</v>
      </c>
      <c r="G983" s="263" t="e">
        <v>#N/A</v>
      </c>
      <c r="H983" s="266" t="e">
        <f>VLOOKUP('Trial Balance'!$A983,'Code Allocation'!$A:$D,4,0)</f>
        <v>#N/A</v>
      </c>
      <c r="I983" s="267" t="e">
        <f>VLOOKUP('Trial Balance'!$A983,'Code Allocation'!$A:$E,5,0)</f>
        <v>#N/A</v>
      </c>
      <c r="J983" s="268" t="e">
        <f>VLOOKUP('Trial Balance'!$A983,'Code Allocation'!$A:$F,6,0)</f>
        <v>#N/A</v>
      </c>
    </row>
    <row r="984" spans="5:10" ht="12.75" hidden="1" customHeight="1" x14ac:dyDescent="0.25">
      <c r="E984" s="305">
        <f>SUMIF(Adjustments!A:A,A984,Adjustments!C:C)</f>
        <v>0</v>
      </c>
      <c r="F984" s="278">
        <f t="shared" si="14"/>
        <v>0</v>
      </c>
      <c r="G984" s="263" t="e">
        <v>#N/A</v>
      </c>
      <c r="H984" s="266" t="e">
        <f>VLOOKUP('Trial Balance'!$A984,'Code Allocation'!$A:$D,4,0)</f>
        <v>#N/A</v>
      </c>
      <c r="I984" s="267" t="e">
        <f>VLOOKUP('Trial Balance'!$A984,'Code Allocation'!$A:$E,5,0)</f>
        <v>#N/A</v>
      </c>
      <c r="J984" s="268" t="e">
        <f>VLOOKUP('Trial Balance'!$A984,'Code Allocation'!$A:$F,6,0)</f>
        <v>#N/A</v>
      </c>
    </row>
    <row r="985" spans="5:10" ht="12.75" hidden="1" customHeight="1" x14ac:dyDescent="0.25">
      <c r="E985" s="305">
        <f>SUMIF(Adjustments!A:A,A985,Adjustments!C:C)</f>
        <v>0</v>
      </c>
      <c r="F985" s="278">
        <f t="shared" si="14"/>
        <v>0</v>
      </c>
      <c r="G985" s="263" t="e">
        <v>#N/A</v>
      </c>
      <c r="H985" s="266" t="e">
        <f>VLOOKUP('Trial Balance'!$A985,'Code Allocation'!$A:$D,4,0)</f>
        <v>#N/A</v>
      </c>
      <c r="I985" s="267" t="e">
        <f>VLOOKUP('Trial Balance'!$A985,'Code Allocation'!$A:$E,5,0)</f>
        <v>#N/A</v>
      </c>
      <c r="J985" s="268" t="e">
        <f>VLOOKUP('Trial Balance'!$A985,'Code Allocation'!$A:$F,6,0)</f>
        <v>#N/A</v>
      </c>
    </row>
    <row r="986" spans="5:10" ht="12.75" hidden="1" customHeight="1" x14ac:dyDescent="0.25">
      <c r="E986" s="305">
        <f>SUMIF(Adjustments!A:A,A986,Adjustments!C:C)</f>
        <v>0</v>
      </c>
      <c r="F986" s="278">
        <f t="shared" si="14"/>
        <v>0</v>
      </c>
      <c r="G986" s="263" t="e">
        <v>#N/A</v>
      </c>
      <c r="H986" s="266" t="e">
        <f>VLOOKUP('Trial Balance'!$A986,'Code Allocation'!$A:$D,4,0)</f>
        <v>#N/A</v>
      </c>
      <c r="I986" s="267" t="e">
        <f>VLOOKUP('Trial Balance'!$A986,'Code Allocation'!$A:$E,5,0)</f>
        <v>#N/A</v>
      </c>
      <c r="J986" s="268" t="e">
        <f>VLOOKUP('Trial Balance'!$A986,'Code Allocation'!$A:$F,6,0)</f>
        <v>#N/A</v>
      </c>
    </row>
    <row r="987" spans="5:10" ht="12.75" hidden="1" customHeight="1" x14ac:dyDescent="0.25">
      <c r="E987" s="305">
        <f>SUMIF(Adjustments!A:A,A987,Adjustments!C:C)</f>
        <v>0</v>
      </c>
      <c r="F987" s="278">
        <f t="shared" si="14"/>
        <v>0</v>
      </c>
      <c r="G987" s="263" t="e">
        <v>#N/A</v>
      </c>
      <c r="H987" s="266" t="e">
        <f>VLOOKUP('Trial Balance'!$A987,'Code Allocation'!$A:$D,4,0)</f>
        <v>#N/A</v>
      </c>
      <c r="I987" s="267" t="e">
        <f>VLOOKUP('Trial Balance'!$A987,'Code Allocation'!$A:$E,5,0)</f>
        <v>#N/A</v>
      </c>
      <c r="J987" s="268" t="e">
        <f>VLOOKUP('Trial Balance'!$A987,'Code Allocation'!$A:$F,6,0)</f>
        <v>#N/A</v>
      </c>
    </row>
    <row r="988" spans="5:10" ht="12.75" hidden="1" customHeight="1" x14ac:dyDescent="0.25">
      <c r="E988" s="305">
        <f>SUMIF(Adjustments!A:A,A988,Adjustments!C:C)</f>
        <v>0</v>
      </c>
      <c r="F988" s="278">
        <f t="shared" si="14"/>
        <v>0</v>
      </c>
      <c r="G988" s="263" t="e">
        <v>#N/A</v>
      </c>
      <c r="H988" s="266" t="e">
        <f>VLOOKUP('Trial Balance'!$A988,'Code Allocation'!$A:$D,4,0)</f>
        <v>#N/A</v>
      </c>
      <c r="I988" s="267" t="e">
        <f>VLOOKUP('Trial Balance'!$A988,'Code Allocation'!$A:$E,5,0)</f>
        <v>#N/A</v>
      </c>
      <c r="J988" s="268" t="e">
        <f>VLOOKUP('Trial Balance'!$A988,'Code Allocation'!$A:$F,6,0)</f>
        <v>#N/A</v>
      </c>
    </row>
    <row r="989" spans="5:10" ht="12.75" hidden="1" customHeight="1" x14ac:dyDescent="0.25">
      <c r="E989" s="305">
        <f>SUMIF(Adjustments!A:A,A989,Adjustments!C:C)</f>
        <v>0</v>
      </c>
      <c r="F989" s="278">
        <f t="shared" si="14"/>
        <v>0</v>
      </c>
      <c r="G989" s="263" t="e">
        <v>#N/A</v>
      </c>
      <c r="H989" s="266" t="e">
        <f>VLOOKUP('Trial Balance'!$A989,'Code Allocation'!$A:$D,4,0)</f>
        <v>#N/A</v>
      </c>
      <c r="I989" s="267" t="e">
        <f>VLOOKUP('Trial Balance'!$A989,'Code Allocation'!$A:$E,5,0)</f>
        <v>#N/A</v>
      </c>
      <c r="J989" s="268" t="e">
        <f>VLOOKUP('Trial Balance'!$A989,'Code Allocation'!$A:$F,6,0)</f>
        <v>#N/A</v>
      </c>
    </row>
    <row r="990" spans="5:10" ht="12.75" hidden="1" customHeight="1" x14ac:dyDescent="0.25">
      <c r="E990" s="305">
        <f>SUMIF(Adjustments!A:A,A990,Adjustments!C:C)</f>
        <v>0</v>
      </c>
      <c r="F990" s="278">
        <f t="shared" si="14"/>
        <v>0</v>
      </c>
      <c r="G990" s="263" t="e">
        <v>#N/A</v>
      </c>
      <c r="H990" s="266" t="e">
        <f>VLOOKUP('Trial Balance'!$A990,'Code Allocation'!$A:$D,4,0)</f>
        <v>#N/A</v>
      </c>
      <c r="I990" s="267" t="e">
        <f>VLOOKUP('Trial Balance'!$A990,'Code Allocation'!$A:$E,5,0)</f>
        <v>#N/A</v>
      </c>
      <c r="J990" s="268" t="e">
        <f>VLOOKUP('Trial Balance'!$A990,'Code Allocation'!$A:$F,6,0)</f>
        <v>#N/A</v>
      </c>
    </row>
    <row r="991" spans="5:10" ht="12.75" hidden="1" customHeight="1" x14ac:dyDescent="0.25">
      <c r="E991" s="305">
        <f>SUMIF(Adjustments!A:A,A991,Adjustments!C:C)</f>
        <v>0</v>
      </c>
      <c r="F991" s="278">
        <f t="shared" si="14"/>
        <v>0</v>
      </c>
      <c r="G991" s="263" t="e">
        <v>#N/A</v>
      </c>
      <c r="H991" s="266" t="e">
        <f>VLOOKUP('Trial Balance'!$A991,'Code Allocation'!$A:$D,4,0)</f>
        <v>#N/A</v>
      </c>
      <c r="I991" s="267" t="e">
        <f>VLOOKUP('Trial Balance'!$A991,'Code Allocation'!$A:$E,5,0)</f>
        <v>#N/A</v>
      </c>
      <c r="J991" s="268" t="e">
        <f>VLOOKUP('Trial Balance'!$A991,'Code Allocation'!$A:$F,6,0)</f>
        <v>#N/A</v>
      </c>
    </row>
    <row r="992" spans="5:10" ht="12.75" hidden="1" customHeight="1" x14ac:dyDescent="0.25">
      <c r="E992" s="305">
        <f>SUMIF(Adjustments!A:A,A992,Adjustments!C:C)</f>
        <v>0</v>
      </c>
      <c r="F992" s="278">
        <f t="shared" si="14"/>
        <v>0</v>
      </c>
      <c r="G992" s="263" t="e">
        <v>#N/A</v>
      </c>
      <c r="H992" s="266" t="e">
        <f>VLOOKUP('Trial Balance'!$A992,'Code Allocation'!$A:$D,4,0)</f>
        <v>#N/A</v>
      </c>
      <c r="I992" s="267" t="e">
        <f>VLOOKUP('Trial Balance'!$A992,'Code Allocation'!$A:$E,5,0)</f>
        <v>#N/A</v>
      </c>
      <c r="J992" s="268" t="e">
        <f>VLOOKUP('Trial Balance'!$A992,'Code Allocation'!$A:$F,6,0)</f>
        <v>#N/A</v>
      </c>
    </row>
    <row r="993" spans="5:10" ht="12.75" hidden="1" customHeight="1" x14ac:dyDescent="0.25">
      <c r="E993" s="305">
        <f>SUMIF(Adjustments!A:A,A993,Adjustments!C:C)</f>
        <v>0</v>
      </c>
      <c r="F993" s="278">
        <f t="shared" si="14"/>
        <v>0</v>
      </c>
      <c r="G993" s="263" t="e">
        <v>#N/A</v>
      </c>
      <c r="H993" s="266" t="e">
        <f>VLOOKUP('Trial Balance'!$A993,'Code Allocation'!$A:$D,4,0)</f>
        <v>#N/A</v>
      </c>
      <c r="I993" s="267" t="e">
        <f>VLOOKUP('Trial Balance'!$A993,'Code Allocation'!$A:$E,5,0)</f>
        <v>#N/A</v>
      </c>
      <c r="J993" s="268" t="e">
        <f>VLOOKUP('Trial Balance'!$A993,'Code Allocation'!$A:$F,6,0)</f>
        <v>#N/A</v>
      </c>
    </row>
    <row r="994" spans="5:10" ht="12.75" hidden="1" customHeight="1" x14ac:dyDescent="0.25">
      <c r="E994" s="305">
        <f>SUMIF(Adjustments!A:A,A994,Adjustments!C:C)</f>
        <v>0</v>
      </c>
      <c r="F994" s="278">
        <f t="shared" si="14"/>
        <v>0</v>
      </c>
      <c r="G994" s="263" t="e">
        <v>#N/A</v>
      </c>
      <c r="H994" s="266" t="e">
        <f>VLOOKUP('Trial Balance'!$A994,'Code Allocation'!$A:$D,4,0)</f>
        <v>#N/A</v>
      </c>
      <c r="I994" s="267" t="e">
        <f>VLOOKUP('Trial Balance'!$A994,'Code Allocation'!$A:$E,5,0)</f>
        <v>#N/A</v>
      </c>
      <c r="J994" s="268" t="e">
        <f>VLOOKUP('Trial Balance'!$A994,'Code Allocation'!$A:$F,6,0)</f>
        <v>#N/A</v>
      </c>
    </row>
    <row r="995" spans="5:10" ht="12.75" hidden="1" customHeight="1" x14ac:dyDescent="0.25">
      <c r="E995" s="305">
        <f>SUMIF(Adjustments!A:A,A995,Adjustments!C:C)</f>
        <v>0</v>
      </c>
      <c r="F995" s="278">
        <f t="shared" si="14"/>
        <v>0</v>
      </c>
      <c r="G995" s="263" t="e">
        <v>#N/A</v>
      </c>
      <c r="H995" s="266" t="e">
        <f>VLOOKUP('Trial Balance'!$A995,'Code Allocation'!$A:$D,4,0)</f>
        <v>#N/A</v>
      </c>
      <c r="I995" s="267" t="e">
        <f>VLOOKUP('Trial Balance'!$A995,'Code Allocation'!$A:$E,5,0)</f>
        <v>#N/A</v>
      </c>
      <c r="J995" s="268" t="e">
        <f>VLOOKUP('Trial Balance'!$A995,'Code Allocation'!$A:$F,6,0)</f>
        <v>#N/A</v>
      </c>
    </row>
    <row r="996" spans="5:10" ht="12.75" hidden="1" customHeight="1" x14ac:dyDescent="0.25">
      <c r="E996" s="305">
        <f>SUMIF(Adjustments!A:A,A996,Adjustments!C:C)</f>
        <v>0</v>
      </c>
      <c r="F996" s="278">
        <f t="shared" si="14"/>
        <v>0</v>
      </c>
      <c r="G996" s="263" t="e">
        <v>#N/A</v>
      </c>
      <c r="H996" s="266" t="e">
        <f>VLOOKUP('Trial Balance'!$A996,'Code Allocation'!$A:$D,4,0)</f>
        <v>#N/A</v>
      </c>
      <c r="I996" s="267" t="e">
        <f>VLOOKUP('Trial Balance'!$A996,'Code Allocation'!$A:$E,5,0)</f>
        <v>#N/A</v>
      </c>
      <c r="J996" s="268" t="e">
        <f>VLOOKUP('Trial Balance'!$A996,'Code Allocation'!$A:$F,6,0)</f>
        <v>#N/A</v>
      </c>
    </row>
    <row r="997" spans="5:10" ht="12.75" hidden="1" customHeight="1" x14ac:dyDescent="0.25">
      <c r="E997" s="305">
        <f>SUMIF(Adjustments!A:A,A997,Adjustments!C:C)</f>
        <v>0</v>
      </c>
      <c r="F997" s="278">
        <f t="shared" si="14"/>
        <v>0</v>
      </c>
      <c r="G997" s="263" t="e">
        <v>#N/A</v>
      </c>
      <c r="H997" s="266" t="e">
        <f>VLOOKUP('Trial Balance'!$A997,'Code Allocation'!$A:$D,4,0)</f>
        <v>#N/A</v>
      </c>
      <c r="I997" s="267" t="e">
        <f>VLOOKUP('Trial Balance'!$A997,'Code Allocation'!$A:$E,5,0)</f>
        <v>#N/A</v>
      </c>
      <c r="J997" s="268" t="e">
        <f>VLOOKUP('Trial Balance'!$A997,'Code Allocation'!$A:$F,6,0)</f>
        <v>#N/A</v>
      </c>
    </row>
    <row r="998" spans="5:10" ht="12.75" hidden="1" customHeight="1" x14ac:dyDescent="0.25">
      <c r="E998" s="305">
        <f>SUMIF(Adjustments!A:A,A998,Adjustments!C:C)</f>
        <v>0</v>
      </c>
      <c r="F998" s="278">
        <f t="shared" si="14"/>
        <v>0</v>
      </c>
      <c r="G998" s="263" t="e">
        <v>#N/A</v>
      </c>
      <c r="H998" s="266" t="e">
        <f>VLOOKUP('Trial Balance'!$A998,'Code Allocation'!$A:$D,4,0)</f>
        <v>#N/A</v>
      </c>
      <c r="I998" s="267" t="e">
        <f>VLOOKUP('Trial Balance'!$A998,'Code Allocation'!$A:$E,5,0)</f>
        <v>#N/A</v>
      </c>
      <c r="J998" s="268" t="e">
        <f>VLOOKUP('Trial Balance'!$A998,'Code Allocation'!$A:$F,6,0)</f>
        <v>#N/A</v>
      </c>
    </row>
    <row r="999" spans="5:10" ht="12.75" hidden="1" customHeight="1" x14ac:dyDescent="0.25">
      <c r="E999" s="305">
        <f>SUMIF(Adjustments!A:A,A999,Adjustments!C:C)</f>
        <v>0</v>
      </c>
      <c r="F999" s="278">
        <f t="shared" si="14"/>
        <v>0</v>
      </c>
      <c r="G999" s="263" t="e">
        <v>#N/A</v>
      </c>
      <c r="H999" s="266" t="e">
        <f>VLOOKUP('Trial Balance'!$A999,'Code Allocation'!$A:$D,4,0)</f>
        <v>#N/A</v>
      </c>
      <c r="I999" s="267" t="e">
        <f>VLOOKUP('Trial Balance'!$A999,'Code Allocation'!$A:$E,5,0)</f>
        <v>#N/A</v>
      </c>
      <c r="J999" s="268" t="e">
        <f>VLOOKUP('Trial Balance'!$A999,'Code Allocation'!$A:$F,6,0)</f>
        <v>#N/A</v>
      </c>
    </row>
    <row r="1000" spans="5:10" ht="12.75" hidden="1" customHeight="1" x14ac:dyDescent="0.25">
      <c r="E1000" s="305">
        <f>SUMIF(Adjustments!A:A,A1000,Adjustments!C:C)</f>
        <v>0</v>
      </c>
      <c r="F1000" s="278">
        <f t="shared" si="14"/>
        <v>0</v>
      </c>
      <c r="G1000" s="263" t="e">
        <v>#N/A</v>
      </c>
      <c r="H1000" s="266" t="e">
        <f>VLOOKUP('Trial Balance'!$A1000,'Code Allocation'!$A:$D,4,0)</f>
        <v>#N/A</v>
      </c>
      <c r="I1000" s="267" t="e">
        <f>VLOOKUP('Trial Balance'!$A1000,'Code Allocation'!$A:$E,5,0)</f>
        <v>#N/A</v>
      </c>
      <c r="J1000" s="268" t="e">
        <f>VLOOKUP('Trial Balance'!$A1000,'Code Allocation'!$A:$F,6,0)</f>
        <v>#N/A</v>
      </c>
    </row>
    <row r="1001" spans="5:10" ht="12.75" hidden="1" customHeight="1" x14ac:dyDescent="0.25">
      <c r="E1001" s="305">
        <f>SUMIF(Adjustments!A:A,A1001,Adjustments!C:C)</f>
        <v>0</v>
      </c>
      <c r="F1001" s="278">
        <f t="shared" si="14"/>
        <v>0</v>
      </c>
      <c r="G1001" s="263" t="e">
        <v>#N/A</v>
      </c>
      <c r="H1001" s="266" t="e">
        <f>VLOOKUP('Trial Balance'!$A1001,'Code Allocation'!$A:$D,4,0)</f>
        <v>#N/A</v>
      </c>
      <c r="I1001" s="267" t="e">
        <f>VLOOKUP('Trial Balance'!$A1001,'Code Allocation'!$A:$E,5,0)</f>
        <v>#N/A</v>
      </c>
      <c r="J1001" s="268" t="e">
        <f>VLOOKUP('Trial Balance'!$A1001,'Code Allocation'!$A:$F,6,0)</f>
        <v>#N/A</v>
      </c>
    </row>
    <row r="1002" spans="5:10" ht="12.75" hidden="1" customHeight="1" x14ac:dyDescent="0.25">
      <c r="E1002" s="305">
        <f>SUMIF(Adjustments!A:A,A1002,Adjustments!C:C)</f>
        <v>0</v>
      </c>
      <c r="F1002" s="278">
        <f t="shared" si="14"/>
        <v>0</v>
      </c>
      <c r="G1002" s="263" t="e">
        <v>#N/A</v>
      </c>
      <c r="H1002" s="266" t="e">
        <f>VLOOKUP('Trial Balance'!$A1002,'Code Allocation'!$A:$D,4,0)</f>
        <v>#N/A</v>
      </c>
      <c r="I1002" s="267" t="e">
        <f>VLOOKUP('Trial Balance'!$A1002,'Code Allocation'!$A:$E,5,0)</f>
        <v>#N/A</v>
      </c>
      <c r="J1002" s="268" t="e">
        <f>VLOOKUP('Trial Balance'!$A1002,'Code Allocation'!$A:$F,6,0)</f>
        <v>#N/A</v>
      </c>
    </row>
    <row r="1003" spans="5:10" ht="12.75" hidden="1" customHeight="1" x14ac:dyDescent="0.25">
      <c r="E1003" s="305">
        <f>SUMIF(Adjustments!A:A,A1003,Adjustments!C:C)</f>
        <v>0</v>
      </c>
      <c r="F1003" s="278">
        <f t="shared" si="14"/>
        <v>0</v>
      </c>
      <c r="G1003" s="263" t="e">
        <v>#N/A</v>
      </c>
      <c r="H1003" s="266" t="e">
        <f>VLOOKUP('Trial Balance'!$A1003,'Code Allocation'!$A:$D,4,0)</f>
        <v>#N/A</v>
      </c>
      <c r="I1003" s="267" t="e">
        <f>VLOOKUP('Trial Balance'!$A1003,'Code Allocation'!$A:$E,5,0)</f>
        <v>#N/A</v>
      </c>
      <c r="J1003" s="268" t="e">
        <f>VLOOKUP('Trial Balance'!$A1003,'Code Allocation'!$A:$F,6,0)</f>
        <v>#N/A</v>
      </c>
    </row>
    <row r="1004" spans="5:10" ht="12.75" hidden="1" customHeight="1" x14ac:dyDescent="0.25">
      <c r="E1004" s="305">
        <f>SUMIF(Adjustments!A:A,A1004,Adjustments!C:C)</f>
        <v>0</v>
      </c>
      <c r="F1004" s="278">
        <f t="shared" ref="F1004:F1067" si="15">C1004-D1004+E1004</f>
        <v>0</v>
      </c>
      <c r="G1004" s="263" t="e">
        <v>#N/A</v>
      </c>
      <c r="H1004" s="266" t="e">
        <f>VLOOKUP('Trial Balance'!$A1004,'Code Allocation'!$A:$D,4,0)</f>
        <v>#N/A</v>
      </c>
      <c r="I1004" s="267" t="e">
        <f>VLOOKUP('Trial Balance'!$A1004,'Code Allocation'!$A:$E,5,0)</f>
        <v>#N/A</v>
      </c>
      <c r="J1004" s="268" t="e">
        <f>VLOOKUP('Trial Balance'!$A1004,'Code Allocation'!$A:$F,6,0)</f>
        <v>#N/A</v>
      </c>
    </row>
    <row r="1005" spans="5:10" ht="12.75" hidden="1" customHeight="1" x14ac:dyDescent="0.25">
      <c r="E1005" s="305">
        <f>SUMIF(Adjustments!A:A,A1005,Adjustments!C:C)</f>
        <v>0</v>
      </c>
      <c r="F1005" s="278">
        <f t="shared" si="15"/>
        <v>0</v>
      </c>
      <c r="G1005" s="263" t="e">
        <v>#N/A</v>
      </c>
      <c r="H1005" s="266" t="e">
        <f>VLOOKUP('Trial Balance'!$A1005,'Code Allocation'!$A:$D,4,0)</f>
        <v>#N/A</v>
      </c>
      <c r="I1005" s="267" t="e">
        <f>VLOOKUP('Trial Balance'!$A1005,'Code Allocation'!$A:$E,5,0)</f>
        <v>#N/A</v>
      </c>
      <c r="J1005" s="268" t="e">
        <f>VLOOKUP('Trial Balance'!$A1005,'Code Allocation'!$A:$F,6,0)</f>
        <v>#N/A</v>
      </c>
    </row>
    <row r="1006" spans="5:10" ht="12.75" hidden="1" customHeight="1" x14ac:dyDescent="0.25">
      <c r="E1006" s="305">
        <f>SUMIF(Adjustments!A:A,A1006,Adjustments!C:C)</f>
        <v>0</v>
      </c>
      <c r="F1006" s="278">
        <f t="shared" si="15"/>
        <v>0</v>
      </c>
      <c r="G1006" s="263" t="e">
        <v>#N/A</v>
      </c>
      <c r="H1006" s="266" t="e">
        <f>VLOOKUP('Trial Balance'!$A1006,'Code Allocation'!$A:$D,4,0)</f>
        <v>#N/A</v>
      </c>
      <c r="I1006" s="267" t="e">
        <f>VLOOKUP('Trial Balance'!$A1006,'Code Allocation'!$A:$E,5,0)</f>
        <v>#N/A</v>
      </c>
      <c r="J1006" s="268" t="e">
        <f>VLOOKUP('Trial Balance'!$A1006,'Code Allocation'!$A:$F,6,0)</f>
        <v>#N/A</v>
      </c>
    </row>
    <row r="1007" spans="5:10" ht="12.75" hidden="1" customHeight="1" x14ac:dyDescent="0.25">
      <c r="E1007" s="305">
        <f>SUMIF(Adjustments!A:A,A1007,Adjustments!C:C)</f>
        <v>0</v>
      </c>
      <c r="F1007" s="278">
        <f t="shared" si="15"/>
        <v>0</v>
      </c>
      <c r="G1007" s="263" t="e">
        <v>#N/A</v>
      </c>
      <c r="H1007" s="266" t="e">
        <f>VLOOKUP('Trial Balance'!$A1007,'Code Allocation'!$A:$D,4,0)</f>
        <v>#N/A</v>
      </c>
      <c r="I1007" s="267" t="e">
        <f>VLOOKUP('Trial Balance'!$A1007,'Code Allocation'!$A:$E,5,0)</f>
        <v>#N/A</v>
      </c>
      <c r="J1007" s="268" t="e">
        <f>VLOOKUP('Trial Balance'!$A1007,'Code Allocation'!$A:$F,6,0)</f>
        <v>#N/A</v>
      </c>
    </row>
    <row r="1008" spans="5:10" ht="12.75" hidden="1" customHeight="1" x14ac:dyDescent="0.25">
      <c r="E1008" s="305">
        <f>SUMIF(Adjustments!A:A,A1008,Adjustments!C:C)</f>
        <v>0</v>
      </c>
      <c r="F1008" s="278">
        <f t="shared" si="15"/>
        <v>0</v>
      </c>
      <c r="G1008" s="263" t="e">
        <v>#N/A</v>
      </c>
      <c r="H1008" s="266" t="e">
        <f>VLOOKUP('Trial Balance'!$A1008,'Code Allocation'!$A:$D,4,0)</f>
        <v>#N/A</v>
      </c>
      <c r="I1008" s="267" t="e">
        <f>VLOOKUP('Trial Balance'!$A1008,'Code Allocation'!$A:$E,5,0)</f>
        <v>#N/A</v>
      </c>
      <c r="J1008" s="268" t="e">
        <f>VLOOKUP('Trial Balance'!$A1008,'Code Allocation'!$A:$F,6,0)</f>
        <v>#N/A</v>
      </c>
    </row>
    <row r="1009" spans="5:10" ht="12.75" hidden="1" customHeight="1" x14ac:dyDescent="0.25">
      <c r="E1009" s="305">
        <f>SUMIF(Adjustments!A:A,A1009,Adjustments!C:C)</f>
        <v>0</v>
      </c>
      <c r="F1009" s="278">
        <f t="shared" si="15"/>
        <v>0</v>
      </c>
      <c r="G1009" s="263" t="e">
        <v>#N/A</v>
      </c>
      <c r="H1009" s="266" t="e">
        <f>VLOOKUP('Trial Balance'!$A1009,'Code Allocation'!$A:$D,4,0)</f>
        <v>#N/A</v>
      </c>
      <c r="I1009" s="267" t="e">
        <f>VLOOKUP('Trial Balance'!$A1009,'Code Allocation'!$A:$E,5,0)</f>
        <v>#N/A</v>
      </c>
      <c r="J1009" s="268" t="e">
        <f>VLOOKUP('Trial Balance'!$A1009,'Code Allocation'!$A:$F,6,0)</f>
        <v>#N/A</v>
      </c>
    </row>
    <row r="1010" spans="5:10" ht="12.75" hidden="1" customHeight="1" x14ac:dyDescent="0.25">
      <c r="E1010" s="305">
        <f>SUMIF(Adjustments!A:A,A1010,Adjustments!C:C)</f>
        <v>0</v>
      </c>
      <c r="F1010" s="278">
        <f t="shared" si="15"/>
        <v>0</v>
      </c>
      <c r="G1010" s="263" t="e">
        <v>#N/A</v>
      </c>
      <c r="H1010" s="266" t="e">
        <f>VLOOKUP('Trial Balance'!$A1010,'Code Allocation'!$A:$D,4,0)</f>
        <v>#N/A</v>
      </c>
      <c r="I1010" s="267" t="e">
        <f>VLOOKUP('Trial Balance'!$A1010,'Code Allocation'!$A:$E,5,0)</f>
        <v>#N/A</v>
      </c>
      <c r="J1010" s="268" t="e">
        <f>VLOOKUP('Trial Balance'!$A1010,'Code Allocation'!$A:$F,6,0)</f>
        <v>#N/A</v>
      </c>
    </row>
    <row r="1011" spans="5:10" ht="12.75" hidden="1" customHeight="1" x14ac:dyDescent="0.25">
      <c r="E1011" s="305">
        <f>SUMIF(Adjustments!A:A,A1011,Adjustments!C:C)</f>
        <v>0</v>
      </c>
      <c r="F1011" s="278">
        <f t="shared" si="15"/>
        <v>0</v>
      </c>
      <c r="G1011" s="263" t="e">
        <v>#N/A</v>
      </c>
      <c r="H1011" s="266" t="e">
        <f>VLOOKUP('Trial Balance'!$A1011,'Code Allocation'!$A:$D,4,0)</f>
        <v>#N/A</v>
      </c>
      <c r="I1011" s="267" t="e">
        <f>VLOOKUP('Trial Balance'!$A1011,'Code Allocation'!$A:$E,5,0)</f>
        <v>#N/A</v>
      </c>
      <c r="J1011" s="268" t="e">
        <f>VLOOKUP('Trial Balance'!$A1011,'Code Allocation'!$A:$F,6,0)</f>
        <v>#N/A</v>
      </c>
    </row>
    <row r="1012" spans="5:10" ht="12.75" hidden="1" customHeight="1" x14ac:dyDescent="0.25">
      <c r="E1012" s="305">
        <f>SUMIF(Adjustments!A:A,A1012,Adjustments!C:C)</f>
        <v>0</v>
      </c>
      <c r="F1012" s="278">
        <f t="shared" si="15"/>
        <v>0</v>
      </c>
      <c r="G1012" s="263" t="e">
        <v>#N/A</v>
      </c>
      <c r="H1012" s="266" t="e">
        <f>VLOOKUP('Trial Balance'!$A1012,'Code Allocation'!$A:$D,4,0)</f>
        <v>#N/A</v>
      </c>
      <c r="I1012" s="267" t="e">
        <f>VLOOKUP('Trial Balance'!$A1012,'Code Allocation'!$A:$E,5,0)</f>
        <v>#N/A</v>
      </c>
      <c r="J1012" s="268" t="e">
        <f>VLOOKUP('Trial Balance'!$A1012,'Code Allocation'!$A:$F,6,0)</f>
        <v>#N/A</v>
      </c>
    </row>
    <row r="1013" spans="5:10" ht="12.75" hidden="1" customHeight="1" x14ac:dyDescent="0.25">
      <c r="E1013" s="305">
        <f>SUMIF(Adjustments!A:A,A1013,Adjustments!C:C)</f>
        <v>0</v>
      </c>
      <c r="F1013" s="278">
        <f t="shared" si="15"/>
        <v>0</v>
      </c>
      <c r="G1013" s="263" t="e">
        <v>#N/A</v>
      </c>
      <c r="H1013" s="266" t="e">
        <f>VLOOKUP('Trial Balance'!$A1013,'Code Allocation'!$A:$D,4,0)</f>
        <v>#N/A</v>
      </c>
      <c r="I1013" s="267" t="e">
        <f>VLOOKUP('Trial Balance'!$A1013,'Code Allocation'!$A:$E,5,0)</f>
        <v>#N/A</v>
      </c>
      <c r="J1013" s="268" t="e">
        <f>VLOOKUP('Trial Balance'!$A1013,'Code Allocation'!$A:$F,6,0)</f>
        <v>#N/A</v>
      </c>
    </row>
    <row r="1014" spans="5:10" ht="12.75" hidden="1" customHeight="1" x14ac:dyDescent="0.25">
      <c r="E1014" s="305">
        <f>SUMIF(Adjustments!A:A,A1014,Adjustments!C:C)</f>
        <v>0</v>
      </c>
      <c r="F1014" s="278">
        <f t="shared" si="15"/>
        <v>0</v>
      </c>
      <c r="G1014" s="263" t="e">
        <v>#N/A</v>
      </c>
      <c r="H1014" s="266" t="e">
        <f>VLOOKUP('Trial Balance'!$A1014,'Code Allocation'!$A:$D,4,0)</f>
        <v>#N/A</v>
      </c>
      <c r="I1014" s="267" t="e">
        <f>VLOOKUP('Trial Balance'!$A1014,'Code Allocation'!$A:$E,5,0)</f>
        <v>#N/A</v>
      </c>
      <c r="J1014" s="268" t="e">
        <f>VLOOKUP('Trial Balance'!$A1014,'Code Allocation'!$A:$F,6,0)</f>
        <v>#N/A</v>
      </c>
    </row>
    <row r="1015" spans="5:10" ht="12.75" hidden="1" customHeight="1" x14ac:dyDescent="0.25">
      <c r="E1015" s="305">
        <f>SUMIF(Adjustments!A:A,A1015,Adjustments!C:C)</f>
        <v>0</v>
      </c>
      <c r="F1015" s="278">
        <f t="shared" si="15"/>
        <v>0</v>
      </c>
      <c r="G1015" s="263" t="e">
        <v>#N/A</v>
      </c>
      <c r="H1015" s="266" t="e">
        <f>VLOOKUP('Trial Balance'!$A1015,'Code Allocation'!$A:$D,4,0)</f>
        <v>#N/A</v>
      </c>
      <c r="I1015" s="267" t="e">
        <f>VLOOKUP('Trial Balance'!$A1015,'Code Allocation'!$A:$E,5,0)</f>
        <v>#N/A</v>
      </c>
      <c r="J1015" s="268" t="e">
        <f>VLOOKUP('Trial Balance'!$A1015,'Code Allocation'!$A:$F,6,0)</f>
        <v>#N/A</v>
      </c>
    </row>
    <row r="1016" spans="5:10" ht="12.75" hidden="1" customHeight="1" x14ac:dyDescent="0.25">
      <c r="E1016" s="305">
        <f>SUMIF(Adjustments!A:A,A1016,Adjustments!C:C)</f>
        <v>0</v>
      </c>
      <c r="F1016" s="278">
        <f t="shared" si="15"/>
        <v>0</v>
      </c>
      <c r="G1016" s="263" t="e">
        <v>#N/A</v>
      </c>
      <c r="H1016" s="266" t="e">
        <f>VLOOKUP('Trial Balance'!$A1016,'Code Allocation'!$A:$D,4,0)</f>
        <v>#N/A</v>
      </c>
      <c r="I1016" s="267" t="e">
        <f>VLOOKUP('Trial Balance'!$A1016,'Code Allocation'!$A:$E,5,0)</f>
        <v>#N/A</v>
      </c>
      <c r="J1016" s="268" t="e">
        <f>VLOOKUP('Trial Balance'!$A1016,'Code Allocation'!$A:$F,6,0)</f>
        <v>#N/A</v>
      </c>
    </row>
    <row r="1017" spans="5:10" ht="12.75" hidden="1" customHeight="1" x14ac:dyDescent="0.25">
      <c r="E1017" s="305">
        <f>SUMIF(Adjustments!A:A,A1017,Adjustments!C:C)</f>
        <v>0</v>
      </c>
      <c r="F1017" s="278">
        <f t="shared" si="15"/>
        <v>0</v>
      </c>
      <c r="G1017" s="263" t="e">
        <v>#N/A</v>
      </c>
      <c r="H1017" s="266" t="e">
        <f>VLOOKUP('Trial Balance'!$A1017,'Code Allocation'!$A:$D,4,0)</f>
        <v>#N/A</v>
      </c>
      <c r="I1017" s="267" t="e">
        <f>VLOOKUP('Trial Balance'!$A1017,'Code Allocation'!$A:$E,5,0)</f>
        <v>#N/A</v>
      </c>
      <c r="J1017" s="268" t="e">
        <f>VLOOKUP('Trial Balance'!$A1017,'Code Allocation'!$A:$F,6,0)</f>
        <v>#N/A</v>
      </c>
    </row>
    <row r="1018" spans="5:10" ht="12.75" hidden="1" customHeight="1" x14ac:dyDescent="0.25">
      <c r="E1018" s="305">
        <f>SUMIF(Adjustments!A:A,A1018,Adjustments!C:C)</f>
        <v>0</v>
      </c>
      <c r="F1018" s="278">
        <f t="shared" si="15"/>
        <v>0</v>
      </c>
      <c r="G1018" s="263" t="e">
        <v>#N/A</v>
      </c>
      <c r="H1018" s="266" t="e">
        <f>VLOOKUP('Trial Balance'!$A1018,'Code Allocation'!$A:$D,4,0)</f>
        <v>#N/A</v>
      </c>
      <c r="I1018" s="267" t="e">
        <f>VLOOKUP('Trial Balance'!$A1018,'Code Allocation'!$A:$E,5,0)</f>
        <v>#N/A</v>
      </c>
      <c r="J1018" s="268" t="e">
        <f>VLOOKUP('Trial Balance'!$A1018,'Code Allocation'!$A:$F,6,0)</f>
        <v>#N/A</v>
      </c>
    </row>
    <row r="1019" spans="5:10" ht="12.75" hidden="1" customHeight="1" x14ac:dyDescent="0.25">
      <c r="E1019" s="305">
        <f>SUMIF(Adjustments!A:A,A1019,Adjustments!C:C)</f>
        <v>0</v>
      </c>
      <c r="F1019" s="278">
        <f t="shared" si="15"/>
        <v>0</v>
      </c>
      <c r="G1019" s="263" t="e">
        <v>#N/A</v>
      </c>
      <c r="H1019" s="266" t="e">
        <f>VLOOKUP('Trial Balance'!$A1019,'Code Allocation'!$A:$D,4,0)</f>
        <v>#N/A</v>
      </c>
      <c r="I1019" s="267" t="e">
        <f>VLOOKUP('Trial Balance'!$A1019,'Code Allocation'!$A:$E,5,0)</f>
        <v>#N/A</v>
      </c>
      <c r="J1019" s="268" t="e">
        <f>VLOOKUP('Trial Balance'!$A1019,'Code Allocation'!$A:$F,6,0)</f>
        <v>#N/A</v>
      </c>
    </row>
    <row r="1020" spans="5:10" ht="12.75" hidden="1" customHeight="1" x14ac:dyDescent="0.25">
      <c r="E1020" s="305">
        <f>SUMIF(Adjustments!A:A,A1020,Adjustments!C:C)</f>
        <v>0</v>
      </c>
      <c r="F1020" s="278">
        <f t="shared" si="15"/>
        <v>0</v>
      </c>
      <c r="G1020" s="263" t="e">
        <v>#N/A</v>
      </c>
      <c r="H1020" s="266" t="e">
        <f>VLOOKUP('Trial Balance'!$A1020,'Code Allocation'!$A:$D,4,0)</f>
        <v>#N/A</v>
      </c>
      <c r="I1020" s="267" t="e">
        <f>VLOOKUP('Trial Balance'!$A1020,'Code Allocation'!$A:$E,5,0)</f>
        <v>#N/A</v>
      </c>
      <c r="J1020" s="268" t="e">
        <f>VLOOKUP('Trial Balance'!$A1020,'Code Allocation'!$A:$F,6,0)</f>
        <v>#N/A</v>
      </c>
    </row>
    <row r="1021" spans="5:10" ht="12.75" hidden="1" customHeight="1" x14ac:dyDescent="0.25">
      <c r="E1021" s="305">
        <f>SUMIF(Adjustments!A:A,A1021,Adjustments!C:C)</f>
        <v>0</v>
      </c>
      <c r="F1021" s="278">
        <f t="shared" si="15"/>
        <v>0</v>
      </c>
      <c r="G1021" s="263" t="e">
        <v>#N/A</v>
      </c>
      <c r="H1021" s="266" t="e">
        <f>VLOOKUP('Trial Balance'!$A1021,'Code Allocation'!$A:$D,4,0)</f>
        <v>#N/A</v>
      </c>
      <c r="I1021" s="267" t="e">
        <f>VLOOKUP('Trial Balance'!$A1021,'Code Allocation'!$A:$E,5,0)</f>
        <v>#N/A</v>
      </c>
      <c r="J1021" s="268" t="e">
        <f>VLOOKUP('Trial Balance'!$A1021,'Code Allocation'!$A:$F,6,0)</f>
        <v>#N/A</v>
      </c>
    </row>
    <row r="1022" spans="5:10" ht="12.75" hidden="1" customHeight="1" x14ac:dyDescent="0.25">
      <c r="E1022" s="305">
        <f>SUMIF(Adjustments!A:A,A1022,Adjustments!C:C)</f>
        <v>0</v>
      </c>
      <c r="F1022" s="278">
        <f t="shared" si="15"/>
        <v>0</v>
      </c>
      <c r="G1022" s="263" t="e">
        <v>#N/A</v>
      </c>
      <c r="H1022" s="266" t="e">
        <f>VLOOKUP('Trial Balance'!$A1022,'Code Allocation'!$A:$D,4,0)</f>
        <v>#N/A</v>
      </c>
      <c r="I1022" s="267" t="e">
        <f>VLOOKUP('Trial Balance'!$A1022,'Code Allocation'!$A:$E,5,0)</f>
        <v>#N/A</v>
      </c>
      <c r="J1022" s="268" t="e">
        <f>VLOOKUP('Trial Balance'!$A1022,'Code Allocation'!$A:$F,6,0)</f>
        <v>#N/A</v>
      </c>
    </row>
    <row r="1023" spans="5:10" ht="12.75" hidden="1" customHeight="1" x14ac:dyDescent="0.25">
      <c r="E1023" s="305">
        <f>SUMIF(Adjustments!A:A,A1023,Adjustments!C:C)</f>
        <v>0</v>
      </c>
      <c r="F1023" s="278">
        <f t="shared" si="15"/>
        <v>0</v>
      </c>
      <c r="G1023" s="263" t="e">
        <v>#N/A</v>
      </c>
      <c r="H1023" s="266" t="e">
        <f>VLOOKUP('Trial Balance'!$A1023,'Code Allocation'!$A:$D,4,0)</f>
        <v>#N/A</v>
      </c>
      <c r="I1023" s="267" t="e">
        <f>VLOOKUP('Trial Balance'!$A1023,'Code Allocation'!$A:$E,5,0)</f>
        <v>#N/A</v>
      </c>
      <c r="J1023" s="268" t="e">
        <f>VLOOKUP('Trial Balance'!$A1023,'Code Allocation'!$A:$F,6,0)</f>
        <v>#N/A</v>
      </c>
    </row>
    <row r="1024" spans="5:10" ht="12.75" hidden="1" customHeight="1" x14ac:dyDescent="0.25">
      <c r="E1024" s="305">
        <f>SUMIF(Adjustments!A:A,A1024,Adjustments!C:C)</f>
        <v>0</v>
      </c>
      <c r="F1024" s="278">
        <f t="shared" si="15"/>
        <v>0</v>
      </c>
      <c r="G1024" s="263" t="e">
        <v>#N/A</v>
      </c>
      <c r="H1024" s="266" t="e">
        <f>VLOOKUP('Trial Balance'!$A1024,'Code Allocation'!$A:$D,4,0)</f>
        <v>#N/A</v>
      </c>
      <c r="I1024" s="267" t="e">
        <f>VLOOKUP('Trial Balance'!$A1024,'Code Allocation'!$A:$E,5,0)</f>
        <v>#N/A</v>
      </c>
      <c r="J1024" s="268" t="e">
        <f>VLOOKUP('Trial Balance'!$A1024,'Code Allocation'!$A:$F,6,0)</f>
        <v>#N/A</v>
      </c>
    </row>
    <row r="1025" spans="5:10" ht="12.75" hidden="1" customHeight="1" x14ac:dyDescent="0.25">
      <c r="E1025" s="305">
        <f>SUMIF(Adjustments!A:A,A1025,Adjustments!C:C)</f>
        <v>0</v>
      </c>
      <c r="F1025" s="278">
        <f t="shared" si="15"/>
        <v>0</v>
      </c>
      <c r="G1025" s="263" t="e">
        <v>#N/A</v>
      </c>
      <c r="H1025" s="266" t="e">
        <f>VLOOKUP('Trial Balance'!$A1025,'Code Allocation'!$A:$D,4,0)</f>
        <v>#N/A</v>
      </c>
      <c r="I1025" s="267" t="e">
        <f>VLOOKUP('Trial Balance'!$A1025,'Code Allocation'!$A:$E,5,0)</f>
        <v>#N/A</v>
      </c>
      <c r="J1025" s="268" t="e">
        <f>VLOOKUP('Trial Balance'!$A1025,'Code Allocation'!$A:$F,6,0)</f>
        <v>#N/A</v>
      </c>
    </row>
    <row r="1026" spans="5:10" ht="12.75" hidden="1" customHeight="1" x14ac:dyDescent="0.25">
      <c r="E1026" s="305">
        <f>SUMIF(Adjustments!A:A,A1026,Adjustments!C:C)</f>
        <v>0</v>
      </c>
      <c r="F1026" s="278">
        <f t="shared" si="15"/>
        <v>0</v>
      </c>
      <c r="G1026" s="263" t="e">
        <v>#N/A</v>
      </c>
      <c r="H1026" s="266" t="e">
        <f>VLOOKUP('Trial Balance'!$A1026,'Code Allocation'!$A:$D,4,0)</f>
        <v>#N/A</v>
      </c>
      <c r="I1026" s="267" t="e">
        <f>VLOOKUP('Trial Balance'!$A1026,'Code Allocation'!$A:$E,5,0)</f>
        <v>#N/A</v>
      </c>
      <c r="J1026" s="268" t="e">
        <f>VLOOKUP('Trial Balance'!$A1026,'Code Allocation'!$A:$F,6,0)</f>
        <v>#N/A</v>
      </c>
    </row>
    <row r="1027" spans="5:10" ht="12.75" hidden="1" customHeight="1" x14ac:dyDescent="0.25">
      <c r="E1027" s="305">
        <f>SUMIF(Adjustments!A:A,A1027,Adjustments!C:C)</f>
        <v>0</v>
      </c>
      <c r="F1027" s="278">
        <f t="shared" si="15"/>
        <v>0</v>
      </c>
      <c r="G1027" s="263" t="e">
        <v>#N/A</v>
      </c>
      <c r="H1027" s="266" t="e">
        <f>VLOOKUP('Trial Balance'!$A1027,'Code Allocation'!$A:$D,4,0)</f>
        <v>#N/A</v>
      </c>
      <c r="I1027" s="267" t="e">
        <f>VLOOKUP('Trial Balance'!$A1027,'Code Allocation'!$A:$E,5,0)</f>
        <v>#N/A</v>
      </c>
      <c r="J1027" s="268" t="e">
        <f>VLOOKUP('Trial Balance'!$A1027,'Code Allocation'!$A:$F,6,0)</f>
        <v>#N/A</v>
      </c>
    </row>
    <row r="1028" spans="5:10" ht="12.75" hidden="1" customHeight="1" x14ac:dyDescent="0.25">
      <c r="E1028" s="305">
        <f>SUMIF(Adjustments!A:A,A1028,Adjustments!C:C)</f>
        <v>0</v>
      </c>
      <c r="F1028" s="278">
        <f t="shared" si="15"/>
        <v>0</v>
      </c>
      <c r="G1028" s="263" t="e">
        <v>#N/A</v>
      </c>
      <c r="H1028" s="266" t="e">
        <f>VLOOKUP('Trial Balance'!$A1028,'Code Allocation'!$A:$D,4,0)</f>
        <v>#N/A</v>
      </c>
      <c r="I1028" s="267" t="e">
        <f>VLOOKUP('Trial Balance'!$A1028,'Code Allocation'!$A:$E,5,0)</f>
        <v>#N/A</v>
      </c>
      <c r="J1028" s="268" t="e">
        <f>VLOOKUP('Trial Balance'!$A1028,'Code Allocation'!$A:$F,6,0)</f>
        <v>#N/A</v>
      </c>
    </row>
    <row r="1029" spans="5:10" ht="12.75" hidden="1" customHeight="1" x14ac:dyDescent="0.25">
      <c r="E1029" s="305">
        <f>SUMIF(Adjustments!A:A,A1029,Adjustments!C:C)</f>
        <v>0</v>
      </c>
      <c r="F1029" s="278">
        <f t="shared" si="15"/>
        <v>0</v>
      </c>
      <c r="G1029" s="263" t="e">
        <v>#N/A</v>
      </c>
      <c r="H1029" s="266" t="e">
        <f>VLOOKUP('Trial Balance'!$A1029,'Code Allocation'!$A:$D,4,0)</f>
        <v>#N/A</v>
      </c>
      <c r="I1029" s="267" t="e">
        <f>VLOOKUP('Trial Balance'!$A1029,'Code Allocation'!$A:$E,5,0)</f>
        <v>#N/A</v>
      </c>
      <c r="J1029" s="268" t="e">
        <f>VLOOKUP('Trial Balance'!$A1029,'Code Allocation'!$A:$F,6,0)</f>
        <v>#N/A</v>
      </c>
    </row>
    <row r="1030" spans="5:10" ht="12.75" hidden="1" customHeight="1" x14ac:dyDescent="0.25">
      <c r="E1030" s="305">
        <f>SUMIF(Adjustments!A:A,A1030,Adjustments!C:C)</f>
        <v>0</v>
      </c>
      <c r="F1030" s="278">
        <f t="shared" si="15"/>
        <v>0</v>
      </c>
      <c r="G1030" s="263" t="e">
        <v>#N/A</v>
      </c>
      <c r="H1030" s="266" t="e">
        <f>VLOOKUP('Trial Balance'!$A1030,'Code Allocation'!$A:$D,4,0)</f>
        <v>#N/A</v>
      </c>
      <c r="I1030" s="267" t="e">
        <f>VLOOKUP('Trial Balance'!$A1030,'Code Allocation'!$A:$E,5,0)</f>
        <v>#N/A</v>
      </c>
      <c r="J1030" s="268" t="e">
        <f>VLOOKUP('Trial Balance'!$A1030,'Code Allocation'!$A:$F,6,0)</f>
        <v>#N/A</v>
      </c>
    </row>
    <row r="1031" spans="5:10" ht="12.75" hidden="1" customHeight="1" x14ac:dyDescent="0.25">
      <c r="E1031" s="305">
        <f>SUMIF(Adjustments!A:A,A1031,Adjustments!C:C)</f>
        <v>0</v>
      </c>
      <c r="F1031" s="278">
        <f t="shared" si="15"/>
        <v>0</v>
      </c>
      <c r="G1031" s="263" t="e">
        <v>#N/A</v>
      </c>
      <c r="H1031" s="266" t="e">
        <f>VLOOKUP('Trial Balance'!$A1031,'Code Allocation'!$A:$D,4,0)</f>
        <v>#N/A</v>
      </c>
      <c r="I1031" s="267" t="e">
        <f>VLOOKUP('Trial Balance'!$A1031,'Code Allocation'!$A:$E,5,0)</f>
        <v>#N/A</v>
      </c>
      <c r="J1031" s="268" t="e">
        <f>VLOOKUP('Trial Balance'!$A1031,'Code Allocation'!$A:$F,6,0)</f>
        <v>#N/A</v>
      </c>
    </row>
    <row r="1032" spans="5:10" ht="12.75" hidden="1" customHeight="1" x14ac:dyDescent="0.25">
      <c r="E1032" s="305">
        <f>SUMIF(Adjustments!A:A,A1032,Adjustments!C:C)</f>
        <v>0</v>
      </c>
      <c r="F1032" s="278">
        <f t="shared" si="15"/>
        <v>0</v>
      </c>
      <c r="G1032" s="263" t="e">
        <v>#N/A</v>
      </c>
      <c r="H1032" s="266" t="e">
        <f>VLOOKUP('Trial Balance'!$A1032,'Code Allocation'!$A:$D,4,0)</f>
        <v>#N/A</v>
      </c>
      <c r="I1032" s="267" t="e">
        <f>VLOOKUP('Trial Balance'!$A1032,'Code Allocation'!$A:$E,5,0)</f>
        <v>#N/A</v>
      </c>
      <c r="J1032" s="268" t="e">
        <f>VLOOKUP('Trial Balance'!$A1032,'Code Allocation'!$A:$F,6,0)</f>
        <v>#N/A</v>
      </c>
    </row>
    <row r="1033" spans="5:10" ht="12.75" hidden="1" customHeight="1" x14ac:dyDescent="0.25">
      <c r="E1033" s="305">
        <f>SUMIF(Adjustments!A:A,A1033,Adjustments!C:C)</f>
        <v>0</v>
      </c>
      <c r="F1033" s="278">
        <f t="shared" si="15"/>
        <v>0</v>
      </c>
      <c r="G1033" s="263" t="e">
        <v>#N/A</v>
      </c>
      <c r="H1033" s="266" t="e">
        <f>VLOOKUP('Trial Balance'!$A1033,'Code Allocation'!$A:$D,4,0)</f>
        <v>#N/A</v>
      </c>
      <c r="I1033" s="267" t="e">
        <f>VLOOKUP('Trial Balance'!$A1033,'Code Allocation'!$A:$E,5,0)</f>
        <v>#N/A</v>
      </c>
      <c r="J1033" s="268" t="e">
        <f>VLOOKUP('Trial Balance'!$A1033,'Code Allocation'!$A:$F,6,0)</f>
        <v>#N/A</v>
      </c>
    </row>
    <row r="1034" spans="5:10" ht="12.75" hidden="1" customHeight="1" x14ac:dyDescent="0.25">
      <c r="E1034" s="305">
        <f>SUMIF(Adjustments!A:A,A1034,Adjustments!C:C)</f>
        <v>0</v>
      </c>
      <c r="F1034" s="278">
        <f t="shared" si="15"/>
        <v>0</v>
      </c>
      <c r="G1034" s="263" t="e">
        <v>#N/A</v>
      </c>
      <c r="H1034" s="266" t="e">
        <f>VLOOKUP('Trial Balance'!$A1034,'Code Allocation'!$A:$D,4,0)</f>
        <v>#N/A</v>
      </c>
      <c r="I1034" s="267" t="e">
        <f>VLOOKUP('Trial Balance'!$A1034,'Code Allocation'!$A:$E,5,0)</f>
        <v>#N/A</v>
      </c>
      <c r="J1034" s="268" t="e">
        <f>VLOOKUP('Trial Balance'!$A1034,'Code Allocation'!$A:$F,6,0)</f>
        <v>#N/A</v>
      </c>
    </row>
    <row r="1035" spans="5:10" ht="12.75" hidden="1" customHeight="1" x14ac:dyDescent="0.25">
      <c r="E1035" s="305">
        <f>SUMIF(Adjustments!A:A,A1035,Adjustments!C:C)</f>
        <v>0</v>
      </c>
      <c r="F1035" s="278">
        <f t="shared" si="15"/>
        <v>0</v>
      </c>
      <c r="G1035" s="263" t="e">
        <v>#N/A</v>
      </c>
      <c r="H1035" s="266" t="e">
        <f>VLOOKUP('Trial Balance'!$A1035,'Code Allocation'!$A:$D,4,0)</f>
        <v>#N/A</v>
      </c>
      <c r="I1035" s="267" t="e">
        <f>VLOOKUP('Trial Balance'!$A1035,'Code Allocation'!$A:$E,5,0)</f>
        <v>#N/A</v>
      </c>
      <c r="J1035" s="268" t="e">
        <f>VLOOKUP('Trial Balance'!$A1035,'Code Allocation'!$A:$F,6,0)</f>
        <v>#N/A</v>
      </c>
    </row>
    <row r="1036" spans="5:10" ht="12.75" hidden="1" customHeight="1" x14ac:dyDescent="0.25">
      <c r="E1036" s="305">
        <f>SUMIF(Adjustments!A:A,A1036,Adjustments!C:C)</f>
        <v>0</v>
      </c>
      <c r="F1036" s="278">
        <f t="shared" si="15"/>
        <v>0</v>
      </c>
      <c r="G1036" s="263" t="e">
        <v>#N/A</v>
      </c>
      <c r="H1036" s="266" t="e">
        <f>VLOOKUP('Trial Balance'!$A1036,'Code Allocation'!$A:$D,4,0)</f>
        <v>#N/A</v>
      </c>
      <c r="I1036" s="267" t="e">
        <f>VLOOKUP('Trial Balance'!$A1036,'Code Allocation'!$A:$E,5,0)</f>
        <v>#N/A</v>
      </c>
      <c r="J1036" s="268" t="e">
        <f>VLOOKUP('Trial Balance'!$A1036,'Code Allocation'!$A:$F,6,0)</f>
        <v>#N/A</v>
      </c>
    </row>
    <row r="1037" spans="5:10" ht="12.75" hidden="1" customHeight="1" x14ac:dyDescent="0.25">
      <c r="E1037" s="305">
        <f>SUMIF(Adjustments!A:A,A1037,Adjustments!C:C)</f>
        <v>0</v>
      </c>
      <c r="F1037" s="278">
        <f t="shared" si="15"/>
        <v>0</v>
      </c>
      <c r="G1037" s="263" t="e">
        <v>#N/A</v>
      </c>
      <c r="H1037" s="266" t="e">
        <f>VLOOKUP('Trial Balance'!$A1037,'Code Allocation'!$A:$D,4,0)</f>
        <v>#N/A</v>
      </c>
      <c r="I1037" s="267" t="e">
        <f>VLOOKUP('Trial Balance'!$A1037,'Code Allocation'!$A:$E,5,0)</f>
        <v>#N/A</v>
      </c>
      <c r="J1037" s="268" t="e">
        <f>VLOOKUP('Trial Balance'!$A1037,'Code Allocation'!$A:$F,6,0)</f>
        <v>#N/A</v>
      </c>
    </row>
    <row r="1038" spans="5:10" ht="12.75" hidden="1" customHeight="1" x14ac:dyDescent="0.25">
      <c r="E1038" s="305">
        <f>SUMIF(Adjustments!A:A,A1038,Adjustments!C:C)</f>
        <v>0</v>
      </c>
      <c r="F1038" s="278">
        <f t="shared" si="15"/>
        <v>0</v>
      </c>
      <c r="G1038" s="263" t="e">
        <v>#N/A</v>
      </c>
      <c r="H1038" s="266" t="e">
        <f>VLOOKUP('Trial Balance'!$A1038,'Code Allocation'!$A:$D,4,0)</f>
        <v>#N/A</v>
      </c>
      <c r="I1038" s="267" t="e">
        <f>VLOOKUP('Trial Balance'!$A1038,'Code Allocation'!$A:$E,5,0)</f>
        <v>#N/A</v>
      </c>
      <c r="J1038" s="268" t="e">
        <f>VLOOKUP('Trial Balance'!$A1038,'Code Allocation'!$A:$F,6,0)</f>
        <v>#N/A</v>
      </c>
    </row>
    <row r="1039" spans="5:10" ht="12.75" hidden="1" customHeight="1" x14ac:dyDescent="0.25">
      <c r="E1039" s="305">
        <f>SUMIF(Adjustments!A:A,A1039,Adjustments!C:C)</f>
        <v>0</v>
      </c>
      <c r="F1039" s="278">
        <f t="shared" si="15"/>
        <v>0</v>
      </c>
      <c r="G1039" s="263" t="e">
        <v>#N/A</v>
      </c>
      <c r="H1039" s="266" t="e">
        <f>VLOOKUP('Trial Balance'!$A1039,'Code Allocation'!$A:$D,4,0)</f>
        <v>#N/A</v>
      </c>
      <c r="I1039" s="267" t="e">
        <f>VLOOKUP('Trial Balance'!$A1039,'Code Allocation'!$A:$E,5,0)</f>
        <v>#N/A</v>
      </c>
      <c r="J1039" s="268" t="e">
        <f>VLOOKUP('Trial Balance'!$A1039,'Code Allocation'!$A:$F,6,0)</f>
        <v>#N/A</v>
      </c>
    </row>
    <row r="1040" spans="5:10" ht="12.75" hidden="1" customHeight="1" x14ac:dyDescent="0.25">
      <c r="E1040" s="305">
        <f>SUMIF(Adjustments!A:A,A1040,Adjustments!C:C)</f>
        <v>0</v>
      </c>
      <c r="F1040" s="278">
        <f t="shared" si="15"/>
        <v>0</v>
      </c>
      <c r="G1040" s="263" t="e">
        <v>#N/A</v>
      </c>
      <c r="H1040" s="266" t="e">
        <f>VLOOKUP('Trial Balance'!$A1040,'Code Allocation'!$A:$D,4,0)</f>
        <v>#N/A</v>
      </c>
      <c r="I1040" s="267" t="e">
        <f>VLOOKUP('Trial Balance'!$A1040,'Code Allocation'!$A:$E,5,0)</f>
        <v>#N/A</v>
      </c>
      <c r="J1040" s="268" t="e">
        <f>VLOOKUP('Trial Balance'!$A1040,'Code Allocation'!$A:$F,6,0)</f>
        <v>#N/A</v>
      </c>
    </row>
    <row r="1041" spans="5:10" ht="12.75" hidden="1" customHeight="1" x14ac:dyDescent="0.25">
      <c r="E1041" s="305">
        <f>SUMIF(Adjustments!A:A,A1041,Adjustments!C:C)</f>
        <v>0</v>
      </c>
      <c r="F1041" s="278">
        <f t="shared" si="15"/>
        <v>0</v>
      </c>
      <c r="G1041" s="263" t="e">
        <v>#N/A</v>
      </c>
      <c r="H1041" s="266" t="e">
        <f>VLOOKUP('Trial Balance'!$A1041,'Code Allocation'!$A:$D,4,0)</f>
        <v>#N/A</v>
      </c>
      <c r="I1041" s="267" t="e">
        <f>VLOOKUP('Trial Balance'!$A1041,'Code Allocation'!$A:$E,5,0)</f>
        <v>#N/A</v>
      </c>
      <c r="J1041" s="268" t="e">
        <f>VLOOKUP('Trial Balance'!$A1041,'Code Allocation'!$A:$F,6,0)</f>
        <v>#N/A</v>
      </c>
    </row>
    <row r="1042" spans="5:10" ht="12.75" hidden="1" customHeight="1" x14ac:dyDescent="0.25">
      <c r="E1042" s="305">
        <f>SUMIF(Adjustments!A:A,A1042,Adjustments!C:C)</f>
        <v>0</v>
      </c>
      <c r="F1042" s="278">
        <f t="shared" si="15"/>
        <v>0</v>
      </c>
      <c r="G1042" s="263" t="e">
        <v>#N/A</v>
      </c>
      <c r="H1042" s="266" t="e">
        <f>VLOOKUP('Trial Balance'!$A1042,'Code Allocation'!$A:$D,4,0)</f>
        <v>#N/A</v>
      </c>
      <c r="I1042" s="267" t="e">
        <f>VLOOKUP('Trial Balance'!$A1042,'Code Allocation'!$A:$E,5,0)</f>
        <v>#N/A</v>
      </c>
      <c r="J1042" s="268" t="e">
        <f>VLOOKUP('Trial Balance'!$A1042,'Code Allocation'!$A:$F,6,0)</f>
        <v>#N/A</v>
      </c>
    </row>
    <row r="1043" spans="5:10" ht="12.75" hidden="1" customHeight="1" x14ac:dyDescent="0.25">
      <c r="E1043" s="305">
        <f>SUMIF(Adjustments!A:A,A1043,Adjustments!C:C)</f>
        <v>0</v>
      </c>
      <c r="F1043" s="278">
        <f t="shared" si="15"/>
        <v>0</v>
      </c>
      <c r="G1043" s="263" t="e">
        <v>#N/A</v>
      </c>
      <c r="H1043" s="266" t="e">
        <f>VLOOKUP('Trial Balance'!$A1043,'Code Allocation'!$A:$D,4,0)</f>
        <v>#N/A</v>
      </c>
      <c r="I1043" s="267" t="e">
        <f>VLOOKUP('Trial Balance'!$A1043,'Code Allocation'!$A:$E,5,0)</f>
        <v>#N/A</v>
      </c>
      <c r="J1043" s="268" t="e">
        <f>VLOOKUP('Trial Balance'!$A1043,'Code Allocation'!$A:$F,6,0)</f>
        <v>#N/A</v>
      </c>
    </row>
    <row r="1044" spans="5:10" ht="12.75" hidden="1" customHeight="1" x14ac:dyDescent="0.25">
      <c r="E1044" s="305">
        <f>SUMIF(Adjustments!A:A,A1044,Adjustments!C:C)</f>
        <v>0</v>
      </c>
      <c r="F1044" s="278">
        <f t="shared" si="15"/>
        <v>0</v>
      </c>
      <c r="G1044" s="263" t="e">
        <v>#N/A</v>
      </c>
      <c r="H1044" s="266" t="e">
        <f>VLOOKUP('Trial Balance'!$A1044,'Code Allocation'!$A:$D,4,0)</f>
        <v>#N/A</v>
      </c>
      <c r="I1044" s="267" t="e">
        <f>VLOOKUP('Trial Balance'!$A1044,'Code Allocation'!$A:$E,5,0)</f>
        <v>#N/A</v>
      </c>
      <c r="J1044" s="268" t="e">
        <f>VLOOKUP('Trial Balance'!$A1044,'Code Allocation'!$A:$F,6,0)</f>
        <v>#N/A</v>
      </c>
    </row>
    <row r="1045" spans="5:10" ht="12.75" hidden="1" customHeight="1" x14ac:dyDescent="0.25">
      <c r="E1045" s="305">
        <f>SUMIF(Adjustments!A:A,A1045,Adjustments!C:C)</f>
        <v>0</v>
      </c>
      <c r="F1045" s="278">
        <f t="shared" si="15"/>
        <v>0</v>
      </c>
      <c r="G1045" s="263" t="e">
        <v>#N/A</v>
      </c>
      <c r="H1045" s="266" t="e">
        <f>VLOOKUP('Trial Balance'!$A1045,'Code Allocation'!$A:$D,4,0)</f>
        <v>#N/A</v>
      </c>
      <c r="I1045" s="267" t="e">
        <f>VLOOKUP('Trial Balance'!$A1045,'Code Allocation'!$A:$E,5,0)</f>
        <v>#N/A</v>
      </c>
      <c r="J1045" s="268" t="e">
        <f>VLOOKUP('Trial Balance'!$A1045,'Code Allocation'!$A:$F,6,0)</f>
        <v>#N/A</v>
      </c>
    </row>
    <row r="1046" spans="5:10" ht="12.75" hidden="1" customHeight="1" x14ac:dyDescent="0.25">
      <c r="E1046" s="305">
        <f>SUMIF(Adjustments!A:A,A1046,Adjustments!C:C)</f>
        <v>0</v>
      </c>
      <c r="F1046" s="278">
        <f t="shared" si="15"/>
        <v>0</v>
      </c>
      <c r="G1046" s="263" t="e">
        <v>#N/A</v>
      </c>
      <c r="H1046" s="266" t="e">
        <f>VLOOKUP('Trial Balance'!$A1046,'Code Allocation'!$A:$D,4,0)</f>
        <v>#N/A</v>
      </c>
      <c r="I1046" s="267" t="e">
        <f>VLOOKUP('Trial Balance'!$A1046,'Code Allocation'!$A:$E,5,0)</f>
        <v>#N/A</v>
      </c>
      <c r="J1046" s="268" t="e">
        <f>VLOOKUP('Trial Balance'!$A1046,'Code Allocation'!$A:$F,6,0)</f>
        <v>#N/A</v>
      </c>
    </row>
    <row r="1047" spans="5:10" ht="12.75" hidden="1" customHeight="1" x14ac:dyDescent="0.25">
      <c r="E1047" s="305">
        <f>SUMIF(Adjustments!A:A,A1047,Adjustments!C:C)</f>
        <v>0</v>
      </c>
      <c r="F1047" s="278">
        <f t="shared" si="15"/>
        <v>0</v>
      </c>
      <c r="G1047" s="263" t="e">
        <v>#N/A</v>
      </c>
      <c r="H1047" s="266" t="e">
        <f>VLOOKUP('Trial Balance'!$A1047,'Code Allocation'!$A:$D,4,0)</f>
        <v>#N/A</v>
      </c>
      <c r="I1047" s="267" t="e">
        <f>VLOOKUP('Trial Balance'!$A1047,'Code Allocation'!$A:$E,5,0)</f>
        <v>#N/A</v>
      </c>
      <c r="J1047" s="268" t="e">
        <f>VLOOKUP('Trial Balance'!$A1047,'Code Allocation'!$A:$F,6,0)</f>
        <v>#N/A</v>
      </c>
    </row>
    <row r="1048" spans="5:10" ht="12.75" hidden="1" customHeight="1" x14ac:dyDescent="0.25">
      <c r="E1048" s="305">
        <f>SUMIF(Adjustments!A:A,A1048,Adjustments!C:C)</f>
        <v>0</v>
      </c>
      <c r="F1048" s="278">
        <f t="shared" si="15"/>
        <v>0</v>
      </c>
      <c r="G1048" s="263" t="e">
        <v>#N/A</v>
      </c>
      <c r="H1048" s="266" t="e">
        <f>VLOOKUP('Trial Balance'!$A1048,'Code Allocation'!$A:$D,4,0)</f>
        <v>#N/A</v>
      </c>
      <c r="I1048" s="267" t="e">
        <f>VLOOKUP('Trial Balance'!$A1048,'Code Allocation'!$A:$E,5,0)</f>
        <v>#N/A</v>
      </c>
      <c r="J1048" s="268" t="e">
        <f>VLOOKUP('Trial Balance'!$A1048,'Code Allocation'!$A:$F,6,0)</f>
        <v>#N/A</v>
      </c>
    </row>
    <row r="1049" spans="5:10" ht="12.75" hidden="1" customHeight="1" x14ac:dyDescent="0.25">
      <c r="E1049" s="305">
        <f>SUMIF(Adjustments!A:A,A1049,Adjustments!C:C)</f>
        <v>0</v>
      </c>
      <c r="F1049" s="278">
        <f t="shared" si="15"/>
        <v>0</v>
      </c>
      <c r="G1049" s="263" t="e">
        <v>#N/A</v>
      </c>
      <c r="H1049" s="266" t="e">
        <f>VLOOKUP('Trial Balance'!$A1049,'Code Allocation'!$A:$D,4,0)</f>
        <v>#N/A</v>
      </c>
      <c r="I1049" s="267" t="e">
        <f>VLOOKUP('Trial Balance'!$A1049,'Code Allocation'!$A:$E,5,0)</f>
        <v>#N/A</v>
      </c>
      <c r="J1049" s="268" t="e">
        <f>VLOOKUP('Trial Balance'!$A1049,'Code Allocation'!$A:$F,6,0)</f>
        <v>#N/A</v>
      </c>
    </row>
    <row r="1050" spans="5:10" ht="12.75" hidden="1" customHeight="1" x14ac:dyDescent="0.25">
      <c r="E1050" s="305">
        <f>SUMIF(Adjustments!A:A,A1050,Adjustments!C:C)</f>
        <v>0</v>
      </c>
      <c r="F1050" s="278">
        <f t="shared" si="15"/>
        <v>0</v>
      </c>
      <c r="G1050" s="263" t="e">
        <v>#N/A</v>
      </c>
      <c r="H1050" s="266" t="e">
        <f>VLOOKUP('Trial Balance'!$A1050,'Code Allocation'!$A:$D,4,0)</f>
        <v>#N/A</v>
      </c>
      <c r="I1050" s="267" t="e">
        <f>VLOOKUP('Trial Balance'!$A1050,'Code Allocation'!$A:$E,5,0)</f>
        <v>#N/A</v>
      </c>
      <c r="J1050" s="268" t="e">
        <f>VLOOKUP('Trial Balance'!$A1050,'Code Allocation'!$A:$F,6,0)</f>
        <v>#N/A</v>
      </c>
    </row>
    <row r="1051" spans="5:10" ht="12.75" hidden="1" customHeight="1" x14ac:dyDescent="0.25">
      <c r="E1051" s="305">
        <f>SUMIF(Adjustments!A:A,A1051,Adjustments!C:C)</f>
        <v>0</v>
      </c>
      <c r="F1051" s="278">
        <f t="shared" si="15"/>
        <v>0</v>
      </c>
      <c r="G1051" s="263" t="e">
        <v>#N/A</v>
      </c>
      <c r="H1051" s="266" t="e">
        <f>VLOOKUP('Trial Balance'!$A1051,'Code Allocation'!$A:$D,4,0)</f>
        <v>#N/A</v>
      </c>
      <c r="I1051" s="267" t="e">
        <f>VLOOKUP('Trial Balance'!$A1051,'Code Allocation'!$A:$E,5,0)</f>
        <v>#N/A</v>
      </c>
      <c r="J1051" s="268" t="e">
        <f>VLOOKUP('Trial Balance'!$A1051,'Code Allocation'!$A:$F,6,0)</f>
        <v>#N/A</v>
      </c>
    </row>
    <row r="1052" spans="5:10" ht="12.75" hidden="1" customHeight="1" x14ac:dyDescent="0.25">
      <c r="E1052" s="305">
        <f>SUMIF(Adjustments!A:A,A1052,Adjustments!C:C)</f>
        <v>0</v>
      </c>
      <c r="F1052" s="278">
        <f t="shared" si="15"/>
        <v>0</v>
      </c>
      <c r="G1052" s="263" t="e">
        <v>#N/A</v>
      </c>
      <c r="H1052" s="266" t="e">
        <f>VLOOKUP('Trial Balance'!$A1052,'Code Allocation'!$A:$D,4,0)</f>
        <v>#N/A</v>
      </c>
      <c r="I1052" s="267" t="e">
        <f>VLOOKUP('Trial Balance'!$A1052,'Code Allocation'!$A:$E,5,0)</f>
        <v>#N/A</v>
      </c>
      <c r="J1052" s="268" t="e">
        <f>VLOOKUP('Trial Balance'!$A1052,'Code Allocation'!$A:$F,6,0)</f>
        <v>#N/A</v>
      </c>
    </row>
    <row r="1053" spans="5:10" ht="12.75" hidden="1" customHeight="1" x14ac:dyDescent="0.25">
      <c r="E1053" s="305">
        <f>SUMIF(Adjustments!A:A,A1053,Adjustments!C:C)</f>
        <v>0</v>
      </c>
      <c r="F1053" s="278">
        <f t="shared" si="15"/>
        <v>0</v>
      </c>
      <c r="G1053" s="263" t="e">
        <v>#N/A</v>
      </c>
      <c r="H1053" s="266" t="e">
        <f>VLOOKUP('Trial Balance'!$A1053,'Code Allocation'!$A:$D,4,0)</f>
        <v>#N/A</v>
      </c>
      <c r="I1053" s="267" t="e">
        <f>VLOOKUP('Trial Balance'!$A1053,'Code Allocation'!$A:$E,5,0)</f>
        <v>#N/A</v>
      </c>
      <c r="J1053" s="268" t="e">
        <f>VLOOKUP('Trial Balance'!$A1053,'Code Allocation'!$A:$F,6,0)</f>
        <v>#N/A</v>
      </c>
    </row>
    <row r="1054" spans="5:10" ht="12.75" hidden="1" customHeight="1" x14ac:dyDescent="0.25">
      <c r="E1054" s="305">
        <f>SUMIF(Adjustments!A:A,A1054,Adjustments!C:C)</f>
        <v>0</v>
      </c>
      <c r="F1054" s="278">
        <f t="shared" si="15"/>
        <v>0</v>
      </c>
      <c r="G1054" s="263" t="e">
        <v>#N/A</v>
      </c>
      <c r="H1054" s="266" t="e">
        <f>VLOOKUP('Trial Balance'!$A1054,'Code Allocation'!$A:$D,4,0)</f>
        <v>#N/A</v>
      </c>
      <c r="I1054" s="267" t="e">
        <f>VLOOKUP('Trial Balance'!$A1054,'Code Allocation'!$A:$E,5,0)</f>
        <v>#N/A</v>
      </c>
      <c r="J1054" s="268" t="e">
        <f>VLOOKUP('Trial Balance'!$A1054,'Code Allocation'!$A:$F,6,0)</f>
        <v>#N/A</v>
      </c>
    </row>
    <row r="1055" spans="5:10" ht="12.75" hidden="1" customHeight="1" x14ac:dyDescent="0.25">
      <c r="E1055" s="305">
        <f>SUMIF(Adjustments!A:A,A1055,Adjustments!C:C)</f>
        <v>0</v>
      </c>
      <c r="F1055" s="278">
        <f t="shared" si="15"/>
        <v>0</v>
      </c>
      <c r="G1055" s="263" t="e">
        <v>#N/A</v>
      </c>
      <c r="H1055" s="266" t="e">
        <f>VLOOKUP('Trial Balance'!$A1055,'Code Allocation'!$A:$D,4,0)</f>
        <v>#N/A</v>
      </c>
      <c r="I1055" s="267" t="e">
        <f>VLOOKUP('Trial Balance'!$A1055,'Code Allocation'!$A:$E,5,0)</f>
        <v>#N/A</v>
      </c>
      <c r="J1055" s="268" t="e">
        <f>VLOOKUP('Trial Balance'!$A1055,'Code Allocation'!$A:$F,6,0)</f>
        <v>#N/A</v>
      </c>
    </row>
    <row r="1056" spans="5:10" ht="12.75" hidden="1" customHeight="1" x14ac:dyDescent="0.25">
      <c r="E1056" s="305">
        <f>SUMIF(Adjustments!A:A,A1056,Adjustments!C:C)</f>
        <v>0</v>
      </c>
      <c r="F1056" s="278">
        <f t="shared" si="15"/>
        <v>0</v>
      </c>
      <c r="G1056" s="263" t="e">
        <v>#N/A</v>
      </c>
      <c r="H1056" s="266" t="e">
        <f>VLOOKUP('Trial Balance'!$A1056,'Code Allocation'!$A:$D,4,0)</f>
        <v>#N/A</v>
      </c>
      <c r="I1056" s="267" t="e">
        <f>VLOOKUP('Trial Balance'!$A1056,'Code Allocation'!$A:$E,5,0)</f>
        <v>#N/A</v>
      </c>
      <c r="J1056" s="268" t="e">
        <f>VLOOKUP('Trial Balance'!$A1056,'Code Allocation'!$A:$F,6,0)</f>
        <v>#N/A</v>
      </c>
    </row>
    <row r="1057" spans="5:10" ht="12.75" hidden="1" customHeight="1" x14ac:dyDescent="0.25">
      <c r="E1057" s="305">
        <f>SUMIF(Adjustments!A:A,A1057,Adjustments!C:C)</f>
        <v>0</v>
      </c>
      <c r="F1057" s="278">
        <f t="shared" si="15"/>
        <v>0</v>
      </c>
      <c r="G1057" s="263" t="e">
        <v>#N/A</v>
      </c>
      <c r="H1057" s="266" t="e">
        <f>VLOOKUP('Trial Balance'!$A1057,'Code Allocation'!$A:$D,4,0)</f>
        <v>#N/A</v>
      </c>
      <c r="I1057" s="267" t="e">
        <f>VLOOKUP('Trial Balance'!$A1057,'Code Allocation'!$A:$E,5,0)</f>
        <v>#N/A</v>
      </c>
      <c r="J1057" s="268" t="e">
        <f>VLOOKUP('Trial Balance'!$A1057,'Code Allocation'!$A:$F,6,0)</f>
        <v>#N/A</v>
      </c>
    </row>
    <row r="1058" spans="5:10" ht="12.75" hidden="1" customHeight="1" x14ac:dyDescent="0.25">
      <c r="E1058" s="305">
        <f>SUMIF(Adjustments!A:A,A1058,Adjustments!C:C)</f>
        <v>0</v>
      </c>
      <c r="F1058" s="278">
        <f t="shared" si="15"/>
        <v>0</v>
      </c>
      <c r="G1058" s="263" t="e">
        <v>#N/A</v>
      </c>
      <c r="H1058" s="266" t="e">
        <f>VLOOKUP('Trial Balance'!$A1058,'Code Allocation'!$A:$D,4,0)</f>
        <v>#N/A</v>
      </c>
      <c r="I1058" s="267" t="e">
        <f>VLOOKUP('Trial Balance'!$A1058,'Code Allocation'!$A:$E,5,0)</f>
        <v>#N/A</v>
      </c>
      <c r="J1058" s="268" t="e">
        <f>VLOOKUP('Trial Balance'!$A1058,'Code Allocation'!$A:$F,6,0)</f>
        <v>#N/A</v>
      </c>
    </row>
    <row r="1059" spans="5:10" ht="12.75" hidden="1" customHeight="1" x14ac:dyDescent="0.25">
      <c r="E1059" s="305">
        <f>SUMIF(Adjustments!A:A,A1059,Adjustments!C:C)</f>
        <v>0</v>
      </c>
      <c r="F1059" s="278">
        <f t="shared" si="15"/>
        <v>0</v>
      </c>
      <c r="G1059" s="263" t="e">
        <v>#N/A</v>
      </c>
      <c r="H1059" s="266" t="e">
        <f>VLOOKUP('Trial Balance'!$A1059,'Code Allocation'!$A:$D,4,0)</f>
        <v>#N/A</v>
      </c>
      <c r="I1059" s="267" t="e">
        <f>VLOOKUP('Trial Balance'!$A1059,'Code Allocation'!$A:$E,5,0)</f>
        <v>#N/A</v>
      </c>
      <c r="J1059" s="268" t="e">
        <f>VLOOKUP('Trial Balance'!$A1059,'Code Allocation'!$A:$F,6,0)</f>
        <v>#N/A</v>
      </c>
    </row>
    <row r="1060" spans="5:10" ht="12.75" hidden="1" customHeight="1" x14ac:dyDescent="0.25">
      <c r="E1060" s="305">
        <f>SUMIF(Adjustments!A:A,A1060,Adjustments!C:C)</f>
        <v>0</v>
      </c>
      <c r="F1060" s="278">
        <f t="shared" si="15"/>
        <v>0</v>
      </c>
      <c r="G1060" s="263" t="e">
        <v>#N/A</v>
      </c>
      <c r="H1060" s="266" t="e">
        <f>VLOOKUP('Trial Balance'!$A1060,'Code Allocation'!$A:$D,4,0)</f>
        <v>#N/A</v>
      </c>
      <c r="I1060" s="267" t="e">
        <f>VLOOKUP('Trial Balance'!$A1060,'Code Allocation'!$A:$E,5,0)</f>
        <v>#N/A</v>
      </c>
      <c r="J1060" s="268" t="e">
        <f>VLOOKUP('Trial Balance'!$A1060,'Code Allocation'!$A:$F,6,0)</f>
        <v>#N/A</v>
      </c>
    </row>
    <row r="1061" spans="5:10" ht="12.75" hidden="1" customHeight="1" x14ac:dyDescent="0.25">
      <c r="E1061" s="305">
        <f>SUMIF(Adjustments!A:A,A1061,Adjustments!C:C)</f>
        <v>0</v>
      </c>
      <c r="F1061" s="278">
        <f t="shared" si="15"/>
        <v>0</v>
      </c>
      <c r="G1061" s="263" t="e">
        <v>#N/A</v>
      </c>
      <c r="H1061" s="266" t="e">
        <f>VLOOKUP('Trial Balance'!$A1061,'Code Allocation'!$A:$D,4,0)</f>
        <v>#N/A</v>
      </c>
      <c r="I1061" s="267" t="e">
        <f>VLOOKUP('Trial Balance'!$A1061,'Code Allocation'!$A:$E,5,0)</f>
        <v>#N/A</v>
      </c>
      <c r="J1061" s="268" t="e">
        <f>VLOOKUP('Trial Balance'!$A1061,'Code Allocation'!$A:$F,6,0)</f>
        <v>#N/A</v>
      </c>
    </row>
    <row r="1062" spans="5:10" ht="12.75" hidden="1" customHeight="1" x14ac:dyDescent="0.25">
      <c r="E1062" s="305">
        <f>SUMIF(Adjustments!A:A,A1062,Adjustments!C:C)</f>
        <v>0</v>
      </c>
      <c r="F1062" s="278">
        <f t="shared" si="15"/>
        <v>0</v>
      </c>
      <c r="G1062" s="263" t="e">
        <v>#N/A</v>
      </c>
      <c r="H1062" s="266" t="e">
        <f>VLOOKUP('Trial Balance'!$A1062,'Code Allocation'!$A:$D,4,0)</f>
        <v>#N/A</v>
      </c>
      <c r="I1062" s="267" t="e">
        <f>VLOOKUP('Trial Balance'!$A1062,'Code Allocation'!$A:$E,5,0)</f>
        <v>#N/A</v>
      </c>
      <c r="J1062" s="268" t="e">
        <f>VLOOKUP('Trial Balance'!$A1062,'Code Allocation'!$A:$F,6,0)</f>
        <v>#N/A</v>
      </c>
    </row>
    <row r="1063" spans="5:10" ht="12.75" hidden="1" customHeight="1" x14ac:dyDescent="0.25">
      <c r="E1063" s="305">
        <f>SUMIF(Adjustments!A:A,A1063,Adjustments!C:C)</f>
        <v>0</v>
      </c>
      <c r="F1063" s="278">
        <f t="shared" si="15"/>
        <v>0</v>
      </c>
      <c r="G1063" s="263" t="e">
        <v>#N/A</v>
      </c>
      <c r="H1063" s="266" t="e">
        <f>VLOOKUP('Trial Balance'!$A1063,'Code Allocation'!$A:$D,4,0)</f>
        <v>#N/A</v>
      </c>
      <c r="I1063" s="267" t="e">
        <f>VLOOKUP('Trial Balance'!$A1063,'Code Allocation'!$A:$E,5,0)</f>
        <v>#N/A</v>
      </c>
      <c r="J1063" s="268" t="e">
        <f>VLOOKUP('Trial Balance'!$A1063,'Code Allocation'!$A:$F,6,0)</f>
        <v>#N/A</v>
      </c>
    </row>
    <row r="1064" spans="5:10" ht="12.75" hidden="1" customHeight="1" x14ac:dyDescent="0.25">
      <c r="E1064" s="305">
        <f>SUMIF(Adjustments!A:A,A1064,Adjustments!C:C)</f>
        <v>0</v>
      </c>
      <c r="F1064" s="278">
        <f t="shared" si="15"/>
        <v>0</v>
      </c>
      <c r="G1064" s="263" t="e">
        <v>#N/A</v>
      </c>
      <c r="H1064" s="266" t="e">
        <f>VLOOKUP('Trial Balance'!$A1064,'Code Allocation'!$A:$D,4,0)</f>
        <v>#N/A</v>
      </c>
      <c r="I1064" s="267" t="e">
        <f>VLOOKUP('Trial Balance'!$A1064,'Code Allocation'!$A:$E,5,0)</f>
        <v>#N/A</v>
      </c>
      <c r="J1064" s="268" t="e">
        <f>VLOOKUP('Trial Balance'!$A1064,'Code Allocation'!$A:$F,6,0)</f>
        <v>#N/A</v>
      </c>
    </row>
    <row r="1065" spans="5:10" ht="12.75" hidden="1" customHeight="1" x14ac:dyDescent="0.25">
      <c r="E1065" s="305">
        <f>SUMIF(Adjustments!A:A,A1065,Adjustments!C:C)</f>
        <v>0</v>
      </c>
      <c r="F1065" s="278">
        <f t="shared" si="15"/>
        <v>0</v>
      </c>
      <c r="G1065" s="263" t="e">
        <v>#N/A</v>
      </c>
      <c r="H1065" s="266" t="e">
        <f>VLOOKUP('Trial Balance'!$A1065,'Code Allocation'!$A:$D,4,0)</f>
        <v>#N/A</v>
      </c>
      <c r="I1065" s="267" t="e">
        <f>VLOOKUP('Trial Balance'!$A1065,'Code Allocation'!$A:$E,5,0)</f>
        <v>#N/A</v>
      </c>
      <c r="J1065" s="268" t="e">
        <f>VLOOKUP('Trial Balance'!$A1065,'Code Allocation'!$A:$F,6,0)</f>
        <v>#N/A</v>
      </c>
    </row>
    <row r="1066" spans="5:10" ht="12.75" hidden="1" customHeight="1" x14ac:dyDescent="0.25">
      <c r="E1066" s="305">
        <f>SUMIF(Adjustments!A:A,A1066,Adjustments!C:C)</f>
        <v>0</v>
      </c>
      <c r="F1066" s="278">
        <f t="shared" si="15"/>
        <v>0</v>
      </c>
      <c r="G1066" s="263" t="e">
        <v>#N/A</v>
      </c>
      <c r="H1066" s="266" t="e">
        <f>VLOOKUP('Trial Balance'!$A1066,'Code Allocation'!$A:$D,4,0)</f>
        <v>#N/A</v>
      </c>
      <c r="I1066" s="267" t="e">
        <f>VLOOKUP('Trial Balance'!$A1066,'Code Allocation'!$A:$E,5,0)</f>
        <v>#N/A</v>
      </c>
      <c r="J1066" s="268" t="e">
        <f>VLOOKUP('Trial Balance'!$A1066,'Code Allocation'!$A:$F,6,0)</f>
        <v>#N/A</v>
      </c>
    </row>
    <row r="1067" spans="5:10" ht="12.75" hidden="1" customHeight="1" x14ac:dyDescent="0.25">
      <c r="E1067" s="305">
        <f>SUMIF(Adjustments!A:A,A1067,Adjustments!C:C)</f>
        <v>0</v>
      </c>
      <c r="F1067" s="278">
        <f t="shared" si="15"/>
        <v>0</v>
      </c>
      <c r="G1067" s="263" t="e">
        <v>#N/A</v>
      </c>
      <c r="H1067" s="266" t="e">
        <f>VLOOKUP('Trial Balance'!$A1067,'Code Allocation'!$A:$D,4,0)</f>
        <v>#N/A</v>
      </c>
      <c r="I1067" s="267" t="e">
        <f>VLOOKUP('Trial Balance'!$A1067,'Code Allocation'!$A:$E,5,0)</f>
        <v>#N/A</v>
      </c>
      <c r="J1067" s="268" t="e">
        <f>VLOOKUP('Trial Balance'!$A1067,'Code Allocation'!$A:$F,6,0)</f>
        <v>#N/A</v>
      </c>
    </row>
    <row r="1068" spans="5:10" ht="12.75" hidden="1" customHeight="1" x14ac:dyDescent="0.25">
      <c r="E1068" s="305">
        <f>SUMIF(Adjustments!A:A,A1068,Adjustments!C:C)</f>
        <v>0</v>
      </c>
      <c r="F1068" s="278">
        <f t="shared" ref="F1068:F1131" si="16">C1068-D1068+E1068</f>
        <v>0</v>
      </c>
      <c r="G1068" s="263" t="e">
        <v>#N/A</v>
      </c>
      <c r="H1068" s="266" t="e">
        <f>VLOOKUP('Trial Balance'!$A1068,'Code Allocation'!$A:$D,4,0)</f>
        <v>#N/A</v>
      </c>
      <c r="I1068" s="267" t="e">
        <f>VLOOKUP('Trial Balance'!$A1068,'Code Allocation'!$A:$E,5,0)</f>
        <v>#N/A</v>
      </c>
      <c r="J1068" s="268" t="e">
        <f>VLOOKUP('Trial Balance'!$A1068,'Code Allocation'!$A:$F,6,0)</f>
        <v>#N/A</v>
      </c>
    </row>
    <row r="1069" spans="5:10" ht="12.75" hidden="1" customHeight="1" x14ac:dyDescent="0.25">
      <c r="E1069" s="305">
        <f>SUMIF(Adjustments!A:A,A1069,Adjustments!C:C)</f>
        <v>0</v>
      </c>
      <c r="F1069" s="278">
        <f t="shared" si="16"/>
        <v>0</v>
      </c>
      <c r="G1069" s="263" t="e">
        <v>#N/A</v>
      </c>
      <c r="H1069" s="266" t="e">
        <f>VLOOKUP('Trial Balance'!$A1069,'Code Allocation'!$A:$D,4,0)</f>
        <v>#N/A</v>
      </c>
      <c r="I1069" s="267" t="e">
        <f>VLOOKUP('Trial Balance'!$A1069,'Code Allocation'!$A:$E,5,0)</f>
        <v>#N/A</v>
      </c>
      <c r="J1069" s="268" t="e">
        <f>VLOOKUP('Trial Balance'!$A1069,'Code Allocation'!$A:$F,6,0)</f>
        <v>#N/A</v>
      </c>
    </row>
    <row r="1070" spans="5:10" ht="12.75" hidden="1" customHeight="1" x14ac:dyDescent="0.25">
      <c r="E1070" s="305">
        <f>SUMIF(Adjustments!A:A,A1070,Adjustments!C:C)</f>
        <v>0</v>
      </c>
      <c r="F1070" s="278">
        <f t="shared" si="16"/>
        <v>0</v>
      </c>
      <c r="G1070" s="263" t="e">
        <v>#N/A</v>
      </c>
      <c r="H1070" s="266" t="e">
        <f>VLOOKUP('Trial Balance'!$A1070,'Code Allocation'!$A:$D,4,0)</f>
        <v>#N/A</v>
      </c>
      <c r="I1070" s="267" t="e">
        <f>VLOOKUP('Trial Balance'!$A1070,'Code Allocation'!$A:$E,5,0)</f>
        <v>#N/A</v>
      </c>
      <c r="J1070" s="268" t="e">
        <f>VLOOKUP('Trial Balance'!$A1070,'Code Allocation'!$A:$F,6,0)</f>
        <v>#N/A</v>
      </c>
    </row>
    <row r="1071" spans="5:10" ht="12.75" hidden="1" customHeight="1" x14ac:dyDescent="0.25">
      <c r="E1071" s="305">
        <f>SUMIF(Adjustments!A:A,A1071,Adjustments!C:C)</f>
        <v>0</v>
      </c>
      <c r="F1071" s="278">
        <f t="shared" si="16"/>
        <v>0</v>
      </c>
      <c r="G1071" s="263" t="e">
        <v>#N/A</v>
      </c>
      <c r="H1071" s="266" t="e">
        <f>VLOOKUP('Trial Balance'!$A1071,'Code Allocation'!$A:$D,4,0)</f>
        <v>#N/A</v>
      </c>
      <c r="I1071" s="267" t="e">
        <f>VLOOKUP('Trial Balance'!$A1071,'Code Allocation'!$A:$E,5,0)</f>
        <v>#N/A</v>
      </c>
      <c r="J1071" s="268" t="e">
        <f>VLOOKUP('Trial Balance'!$A1071,'Code Allocation'!$A:$F,6,0)</f>
        <v>#N/A</v>
      </c>
    </row>
    <row r="1072" spans="5:10" ht="12.75" hidden="1" customHeight="1" x14ac:dyDescent="0.25">
      <c r="E1072" s="305">
        <f>SUMIF(Adjustments!A:A,A1072,Adjustments!C:C)</f>
        <v>0</v>
      </c>
      <c r="F1072" s="278">
        <f t="shared" si="16"/>
        <v>0</v>
      </c>
      <c r="G1072" s="263" t="e">
        <v>#N/A</v>
      </c>
      <c r="H1072" s="266" t="e">
        <f>VLOOKUP('Trial Balance'!$A1072,'Code Allocation'!$A:$D,4,0)</f>
        <v>#N/A</v>
      </c>
      <c r="I1072" s="267" t="e">
        <f>VLOOKUP('Trial Balance'!$A1072,'Code Allocation'!$A:$E,5,0)</f>
        <v>#N/A</v>
      </c>
      <c r="J1072" s="268" t="e">
        <f>VLOOKUP('Trial Balance'!$A1072,'Code Allocation'!$A:$F,6,0)</f>
        <v>#N/A</v>
      </c>
    </row>
    <row r="1073" spans="5:10" ht="12.75" hidden="1" customHeight="1" x14ac:dyDescent="0.25">
      <c r="E1073" s="305">
        <f>SUMIF(Adjustments!A:A,A1073,Adjustments!C:C)</f>
        <v>0</v>
      </c>
      <c r="F1073" s="278">
        <f t="shared" si="16"/>
        <v>0</v>
      </c>
      <c r="G1073" s="263" t="e">
        <v>#N/A</v>
      </c>
      <c r="H1073" s="266" t="e">
        <f>VLOOKUP('Trial Balance'!$A1073,'Code Allocation'!$A:$D,4,0)</f>
        <v>#N/A</v>
      </c>
      <c r="I1073" s="267" t="e">
        <f>VLOOKUP('Trial Balance'!$A1073,'Code Allocation'!$A:$E,5,0)</f>
        <v>#N/A</v>
      </c>
      <c r="J1073" s="268" t="e">
        <f>VLOOKUP('Trial Balance'!$A1073,'Code Allocation'!$A:$F,6,0)</f>
        <v>#N/A</v>
      </c>
    </row>
    <row r="1074" spans="5:10" ht="12.75" hidden="1" customHeight="1" x14ac:dyDescent="0.25">
      <c r="E1074" s="305">
        <f>SUMIF(Adjustments!A:A,A1074,Adjustments!C:C)</f>
        <v>0</v>
      </c>
      <c r="F1074" s="278">
        <f t="shared" si="16"/>
        <v>0</v>
      </c>
      <c r="G1074" s="263" t="e">
        <v>#N/A</v>
      </c>
      <c r="H1074" s="266" t="e">
        <f>VLOOKUP('Trial Balance'!$A1074,'Code Allocation'!$A:$D,4,0)</f>
        <v>#N/A</v>
      </c>
      <c r="I1074" s="267" t="e">
        <f>VLOOKUP('Trial Balance'!$A1074,'Code Allocation'!$A:$E,5,0)</f>
        <v>#N/A</v>
      </c>
      <c r="J1074" s="268" t="e">
        <f>VLOOKUP('Trial Balance'!$A1074,'Code Allocation'!$A:$F,6,0)</f>
        <v>#N/A</v>
      </c>
    </row>
    <row r="1075" spans="5:10" ht="12.75" hidden="1" customHeight="1" x14ac:dyDescent="0.25">
      <c r="E1075" s="305">
        <f>SUMIF(Adjustments!A:A,A1075,Adjustments!C:C)</f>
        <v>0</v>
      </c>
      <c r="F1075" s="278">
        <f t="shared" si="16"/>
        <v>0</v>
      </c>
      <c r="G1075" s="263" t="e">
        <v>#N/A</v>
      </c>
      <c r="H1075" s="266" t="e">
        <f>VLOOKUP('Trial Balance'!$A1075,'Code Allocation'!$A:$D,4,0)</f>
        <v>#N/A</v>
      </c>
      <c r="I1075" s="267" t="e">
        <f>VLOOKUP('Trial Balance'!$A1075,'Code Allocation'!$A:$E,5,0)</f>
        <v>#N/A</v>
      </c>
      <c r="J1075" s="268" t="e">
        <f>VLOOKUP('Trial Balance'!$A1075,'Code Allocation'!$A:$F,6,0)</f>
        <v>#N/A</v>
      </c>
    </row>
    <row r="1076" spans="5:10" ht="12.75" hidden="1" customHeight="1" x14ac:dyDescent="0.25">
      <c r="E1076" s="305">
        <f>SUMIF(Adjustments!A:A,A1076,Adjustments!C:C)</f>
        <v>0</v>
      </c>
      <c r="F1076" s="278">
        <f t="shared" si="16"/>
        <v>0</v>
      </c>
      <c r="G1076" s="263" t="e">
        <v>#N/A</v>
      </c>
      <c r="H1076" s="266" t="e">
        <f>VLOOKUP('Trial Balance'!$A1076,'Code Allocation'!$A:$D,4,0)</f>
        <v>#N/A</v>
      </c>
      <c r="I1076" s="267" t="e">
        <f>VLOOKUP('Trial Balance'!$A1076,'Code Allocation'!$A:$E,5,0)</f>
        <v>#N/A</v>
      </c>
      <c r="J1076" s="268" t="e">
        <f>VLOOKUP('Trial Balance'!$A1076,'Code Allocation'!$A:$F,6,0)</f>
        <v>#N/A</v>
      </c>
    </row>
    <row r="1077" spans="5:10" ht="12.75" hidden="1" customHeight="1" x14ac:dyDescent="0.25">
      <c r="E1077" s="305">
        <f>SUMIF(Adjustments!A:A,A1077,Adjustments!C:C)</f>
        <v>0</v>
      </c>
      <c r="F1077" s="278">
        <f t="shared" si="16"/>
        <v>0</v>
      </c>
      <c r="G1077" s="263" t="e">
        <v>#N/A</v>
      </c>
      <c r="H1077" s="266" t="e">
        <f>VLOOKUP('Trial Balance'!$A1077,'Code Allocation'!$A:$D,4,0)</f>
        <v>#N/A</v>
      </c>
      <c r="I1077" s="267" t="e">
        <f>VLOOKUP('Trial Balance'!$A1077,'Code Allocation'!$A:$E,5,0)</f>
        <v>#N/A</v>
      </c>
      <c r="J1077" s="268" t="e">
        <f>VLOOKUP('Trial Balance'!$A1077,'Code Allocation'!$A:$F,6,0)</f>
        <v>#N/A</v>
      </c>
    </row>
    <row r="1078" spans="5:10" ht="12.75" hidden="1" customHeight="1" x14ac:dyDescent="0.25">
      <c r="E1078" s="305">
        <f>SUMIF(Adjustments!A:A,A1078,Adjustments!C:C)</f>
        <v>0</v>
      </c>
      <c r="F1078" s="278">
        <f t="shared" si="16"/>
        <v>0</v>
      </c>
      <c r="G1078" s="263" t="e">
        <v>#N/A</v>
      </c>
      <c r="H1078" s="266" t="e">
        <f>VLOOKUP('Trial Balance'!$A1078,'Code Allocation'!$A:$D,4,0)</f>
        <v>#N/A</v>
      </c>
      <c r="I1078" s="267" t="e">
        <f>VLOOKUP('Trial Balance'!$A1078,'Code Allocation'!$A:$E,5,0)</f>
        <v>#N/A</v>
      </c>
      <c r="J1078" s="268" t="e">
        <f>VLOOKUP('Trial Balance'!$A1078,'Code Allocation'!$A:$F,6,0)</f>
        <v>#N/A</v>
      </c>
    </row>
    <row r="1079" spans="5:10" ht="12.75" hidden="1" customHeight="1" x14ac:dyDescent="0.25">
      <c r="E1079" s="305">
        <f>SUMIF(Adjustments!A:A,A1079,Adjustments!C:C)</f>
        <v>0</v>
      </c>
      <c r="F1079" s="278">
        <f t="shared" si="16"/>
        <v>0</v>
      </c>
      <c r="G1079" s="263" t="e">
        <v>#N/A</v>
      </c>
      <c r="H1079" s="266" t="e">
        <f>VLOOKUP('Trial Balance'!$A1079,'Code Allocation'!$A:$D,4,0)</f>
        <v>#N/A</v>
      </c>
      <c r="I1079" s="267" t="e">
        <f>VLOOKUP('Trial Balance'!$A1079,'Code Allocation'!$A:$E,5,0)</f>
        <v>#N/A</v>
      </c>
      <c r="J1079" s="268" t="e">
        <f>VLOOKUP('Trial Balance'!$A1079,'Code Allocation'!$A:$F,6,0)</f>
        <v>#N/A</v>
      </c>
    </row>
    <row r="1080" spans="5:10" ht="12.75" hidden="1" customHeight="1" x14ac:dyDescent="0.25">
      <c r="E1080" s="305">
        <f>SUMIF(Adjustments!A:A,A1080,Adjustments!C:C)</f>
        <v>0</v>
      </c>
      <c r="F1080" s="278">
        <f t="shared" si="16"/>
        <v>0</v>
      </c>
      <c r="G1080" s="263" t="e">
        <v>#N/A</v>
      </c>
      <c r="H1080" s="266" t="e">
        <f>VLOOKUP('Trial Balance'!$A1080,'Code Allocation'!$A:$D,4,0)</f>
        <v>#N/A</v>
      </c>
      <c r="I1080" s="267" t="e">
        <f>VLOOKUP('Trial Balance'!$A1080,'Code Allocation'!$A:$E,5,0)</f>
        <v>#N/A</v>
      </c>
      <c r="J1080" s="268" t="e">
        <f>VLOOKUP('Trial Balance'!$A1080,'Code Allocation'!$A:$F,6,0)</f>
        <v>#N/A</v>
      </c>
    </row>
    <row r="1081" spans="5:10" ht="12.75" hidden="1" customHeight="1" x14ac:dyDescent="0.25">
      <c r="E1081" s="305">
        <f>SUMIF(Adjustments!A:A,A1081,Adjustments!C:C)</f>
        <v>0</v>
      </c>
      <c r="F1081" s="278">
        <f t="shared" si="16"/>
        <v>0</v>
      </c>
      <c r="G1081" s="263" t="e">
        <v>#N/A</v>
      </c>
      <c r="H1081" s="266" t="e">
        <f>VLOOKUP('Trial Balance'!$A1081,'Code Allocation'!$A:$D,4,0)</f>
        <v>#N/A</v>
      </c>
      <c r="I1081" s="267" t="e">
        <f>VLOOKUP('Trial Balance'!$A1081,'Code Allocation'!$A:$E,5,0)</f>
        <v>#N/A</v>
      </c>
      <c r="J1081" s="268" t="e">
        <f>VLOOKUP('Trial Balance'!$A1081,'Code Allocation'!$A:$F,6,0)</f>
        <v>#N/A</v>
      </c>
    </row>
    <row r="1082" spans="5:10" ht="12.75" hidden="1" customHeight="1" x14ac:dyDescent="0.25">
      <c r="E1082" s="305">
        <f>SUMIF(Adjustments!A:A,A1082,Adjustments!C:C)</f>
        <v>0</v>
      </c>
      <c r="F1082" s="278">
        <f t="shared" si="16"/>
        <v>0</v>
      </c>
      <c r="G1082" s="263" t="e">
        <v>#N/A</v>
      </c>
      <c r="H1082" s="266" t="e">
        <f>VLOOKUP('Trial Balance'!$A1082,'Code Allocation'!$A:$D,4,0)</f>
        <v>#N/A</v>
      </c>
      <c r="I1082" s="267" t="e">
        <f>VLOOKUP('Trial Balance'!$A1082,'Code Allocation'!$A:$E,5,0)</f>
        <v>#N/A</v>
      </c>
      <c r="J1082" s="268" t="e">
        <f>VLOOKUP('Trial Balance'!$A1082,'Code Allocation'!$A:$F,6,0)</f>
        <v>#N/A</v>
      </c>
    </row>
    <row r="1083" spans="5:10" ht="12.75" hidden="1" customHeight="1" x14ac:dyDescent="0.25">
      <c r="E1083" s="305">
        <f>SUMIF(Adjustments!A:A,A1083,Adjustments!C:C)</f>
        <v>0</v>
      </c>
      <c r="F1083" s="278">
        <f t="shared" si="16"/>
        <v>0</v>
      </c>
      <c r="G1083" s="263" t="e">
        <v>#N/A</v>
      </c>
      <c r="H1083" s="266" t="e">
        <f>VLOOKUP('Trial Balance'!$A1083,'Code Allocation'!$A:$D,4,0)</f>
        <v>#N/A</v>
      </c>
      <c r="I1083" s="267" t="e">
        <f>VLOOKUP('Trial Balance'!$A1083,'Code Allocation'!$A:$E,5,0)</f>
        <v>#N/A</v>
      </c>
      <c r="J1083" s="268" t="e">
        <f>VLOOKUP('Trial Balance'!$A1083,'Code Allocation'!$A:$F,6,0)</f>
        <v>#N/A</v>
      </c>
    </row>
    <row r="1084" spans="5:10" ht="12.75" hidden="1" customHeight="1" x14ac:dyDescent="0.25">
      <c r="E1084" s="305">
        <f>SUMIF(Adjustments!A:A,A1084,Adjustments!C:C)</f>
        <v>0</v>
      </c>
      <c r="F1084" s="278">
        <f t="shared" si="16"/>
        <v>0</v>
      </c>
      <c r="G1084" s="263" t="e">
        <v>#N/A</v>
      </c>
      <c r="H1084" s="266" t="e">
        <f>VLOOKUP('Trial Balance'!$A1084,'Code Allocation'!$A:$D,4,0)</f>
        <v>#N/A</v>
      </c>
      <c r="I1084" s="267" t="e">
        <f>VLOOKUP('Trial Balance'!$A1084,'Code Allocation'!$A:$E,5,0)</f>
        <v>#N/A</v>
      </c>
      <c r="J1084" s="268" t="e">
        <f>VLOOKUP('Trial Balance'!$A1084,'Code Allocation'!$A:$F,6,0)</f>
        <v>#N/A</v>
      </c>
    </row>
    <row r="1085" spans="5:10" ht="12.75" hidden="1" customHeight="1" x14ac:dyDescent="0.25">
      <c r="E1085" s="305">
        <f>SUMIF(Adjustments!A:A,A1085,Adjustments!C:C)</f>
        <v>0</v>
      </c>
      <c r="F1085" s="278">
        <f t="shared" si="16"/>
        <v>0</v>
      </c>
      <c r="G1085" s="263" t="e">
        <v>#N/A</v>
      </c>
      <c r="H1085" s="266" t="e">
        <f>VLOOKUP('Trial Balance'!$A1085,'Code Allocation'!$A:$D,4,0)</f>
        <v>#N/A</v>
      </c>
      <c r="I1085" s="267" t="e">
        <f>VLOOKUP('Trial Balance'!$A1085,'Code Allocation'!$A:$E,5,0)</f>
        <v>#N/A</v>
      </c>
      <c r="J1085" s="268" t="e">
        <f>VLOOKUP('Trial Balance'!$A1085,'Code Allocation'!$A:$F,6,0)</f>
        <v>#N/A</v>
      </c>
    </row>
    <row r="1086" spans="5:10" ht="12.75" hidden="1" customHeight="1" x14ac:dyDescent="0.25">
      <c r="E1086" s="305">
        <f>SUMIF(Adjustments!A:A,A1086,Adjustments!C:C)</f>
        <v>0</v>
      </c>
      <c r="F1086" s="278">
        <f t="shared" si="16"/>
        <v>0</v>
      </c>
      <c r="G1086" s="263" t="e">
        <v>#N/A</v>
      </c>
      <c r="H1086" s="266" t="e">
        <f>VLOOKUP('Trial Balance'!$A1086,'Code Allocation'!$A:$D,4,0)</f>
        <v>#N/A</v>
      </c>
      <c r="I1086" s="267" t="e">
        <f>VLOOKUP('Trial Balance'!$A1086,'Code Allocation'!$A:$E,5,0)</f>
        <v>#N/A</v>
      </c>
      <c r="J1086" s="268" t="e">
        <f>VLOOKUP('Trial Balance'!$A1086,'Code Allocation'!$A:$F,6,0)</f>
        <v>#N/A</v>
      </c>
    </row>
    <row r="1087" spans="5:10" ht="12.75" hidden="1" customHeight="1" x14ac:dyDescent="0.25">
      <c r="E1087" s="305">
        <f>SUMIF(Adjustments!A:A,A1087,Adjustments!C:C)</f>
        <v>0</v>
      </c>
      <c r="F1087" s="278">
        <f t="shared" si="16"/>
        <v>0</v>
      </c>
      <c r="G1087" s="263" t="e">
        <v>#N/A</v>
      </c>
      <c r="H1087" s="266" t="e">
        <f>VLOOKUP('Trial Balance'!$A1087,'Code Allocation'!$A:$D,4,0)</f>
        <v>#N/A</v>
      </c>
      <c r="I1087" s="267" t="e">
        <f>VLOOKUP('Trial Balance'!$A1087,'Code Allocation'!$A:$E,5,0)</f>
        <v>#N/A</v>
      </c>
      <c r="J1087" s="268" t="e">
        <f>VLOOKUP('Trial Balance'!$A1087,'Code Allocation'!$A:$F,6,0)</f>
        <v>#N/A</v>
      </c>
    </row>
    <row r="1088" spans="5:10" ht="12.75" hidden="1" customHeight="1" x14ac:dyDescent="0.25">
      <c r="E1088" s="305">
        <f>SUMIF(Adjustments!A:A,A1088,Adjustments!C:C)</f>
        <v>0</v>
      </c>
      <c r="F1088" s="278">
        <f t="shared" si="16"/>
        <v>0</v>
      </c>
      <c r="G1088" s="263" t="e">
        <v>#N/A</v>
      </c>
      <c r="H1088" s="266" t="e">
        <f>VLOOKUP('Trial Balance'!$A1088,'Code Allocation'!$A:$D,4,0)</f>
        <v>#N/A</v>
      </c>
      <c r="I1088" s="267" t="e">
        <f>VLOOKUP('Trial Balance'!$A1088,'Code Allocation'!$A:$E,5,0)</f>
        <v>#N/A</v>
      </c>
      <c r="J1088" s="268" t="e">
        <f>VLOOKUP('Trial Balance'!$A1088,'Code Allocation'!$A:$F,6,0)</f>
        <v>#N/A</v>
      </c>
    </row>
    <row r="1089" spans="5:10" ht="12.75" hidden="1" customHeight="1" x14ac:dyDescent="0.25">
      <c r="E1089" s="305">
        <f>SUMIF(Adjustments!A:A,A1089,Adjustments!C:C)</f>
        <v>0</v>
      </c>
      <c r="F1089" s="278">
        <f t="shared" si="16"/>
        <v>0</v>
      </c>
      <c r="G1089" s="263" t="e">
        <v>#N/A</v>
      </c>
      <c r="H1089" s="266" t="e">
        <f>VLOOKUP('Trial Balance'!$A1089,'Code Allocation'!$A:$D,4,0)</f>
        <v>#N/A</v>
      </c>
      <c r="I1089" s="267" t="e">
        <f>VLOOKUP('Trial Balance'!$A1089,'Code Allocation'!$A:$E,5,0)</f>
        <v>#N/A</v>
      </c>
      <c r="J1089" s="268" t="e">
        <f>VLOOKUP('Trial Balance'!$A1089,'Code Allocation'!$A:$F,6,0)</f>
        <v>#N/A</v>
      </c>
    </row>
    <row r="1090" spans="5:10" ht="12.75" hidden="1" customHeight="1" x14ac:dyDescent="0.25">
      <c r="E1090" s="305">
        <f>SUMIF(Adjustments!A:A,A1090,Adjustments!C:C)</f>
        <v>0</v>
      </c>
      <c r="F1090" s="278">
        <f t="shared" si="16"/>
        <v>0</v>
      </c>
      <c r="G1090" s="263" t="e">
        <v>#N/A</v>
      </c>
      <c r="H1090" s="266" t="e">
        <f>VLOOKUP('Trial Balance'!$A1090,'Code Allocation'!$A:$D,4,0)</f>
        <v>#N/A</v>
      </c>
      <c r="I1090" s="267" t="e">
        <f>VLOOKUP('Trial Balance'!$A1090,'Code Allocation'!$A:$E,5,0)</f>
        <v>#N/A</v>
      </c>
      <c r="J1090" s="268" t="e">
        <f>VLOOKUP('Trial Balance'!$A1090,'Code Allocation'!$A:$F,6,0)</f>
        <v>#N/A</v>
      </c>
    </row>
    <row r="1091" spans="5:10" ht="12.75" hidden="1" customHeight="1" x14ac:dyDescent="0.25">
      <c r="E1091" s="305">
        <f>SUMIF(Adjustments!A:A,A1091,Adjustments!C:C)</f>
        <v>0</v>
      </c>
      <c r="F1091" s="278">
        <f t="shared" si="16"/>
        <v>0</v>
      </c>
      <c r="G1091" s="263" t="e">
        <v>#N/A</v>
      </c>
      <c r="H1091" s="266" t="e">
        <f>VLOOKUP('Trial Balance'!$A1091,'Code Allocation'!$A:$D,4,0)</f>
        <v>#N/A</v>
      </c>
      <c r="I1091" s="267" t="e">
        <f>VLOOKUP('Trial Balance'!$A1091,'Code Allocation'!$A:$E,5,0)</f>
        <v>#N/A</v>
      </c>
      <c r="J1091" s="268" t="e">
        <f>VLOOKUP('Trial Balance'!$A1091,'Code Allocation'!$A:$F,6,0)</f>
        <v>#N/A</v>
      </c>
    </row>
    <row r="1092" spans="5:10" ht="12.75" hidden="1" customHeight="1" x14ac:dyDescent="0.25">
      <c r="E1092" s="305">
        <f>SUMIF(Adjustments!A:A,A1092,Adjustments!C:C)</f>
        <v>0</v>
      </c>
      <c r="F1092" s="278">
        <f t="shared" si="16"/>
        <v>0</v>
      </c>
      <c r="G1092" s="263" t="e">
        <v>#N/A</v>
      </c>
      <c r="H1092" s="266" t="e">
        <f>VLOOKUP('Trial Balance'!$A1092,'Code Allocation'!$A:$D,4,0)</f>
        <v>#N/A</v>
      </c>
      <c r="I1092" s="267" t="e">
        <f>VLOOKUP('Trial Balance'!$A1092,'Code Allocation'!$A:$E,5,0)</f>
        <v>#N/A</v>
      </c>
      <c r="J1092" s="268" t="e">
        <f>VLOOKUP('Trial Balance'!$A1092,'Code Allocation'!$A:$F,6,0)</f>
        <v>#N/A</v>
      </c>
    </row>
    <row r="1093" spans="5:10" ht="12.75" hidden="1" customHeight="1" x14ac:dyDescent="0.25">
      <c r="E1093" s="305">
        <f>SUMIF(Adjustments!A:A,A1093,Adjustments!C:C)</f>
        <v>0</v>
      </c>
      <c r="F1093" s="278">
        <f t="shared" si="16"/>
        <v>0</v>
      </c>
      <c r="G1093" s="263" t="e">
        <v>#N/A</v>
      </c>
      <c r="H1093" s="266" t="e">
        <f>VLOOKUP('Trial Balance'!$A1093,'Code Allocation'!$A:$D,4,0)</f>
        <v>#N/A</v>
      </c>
      <c r="I1093" s="267" t="e">
        <f>VLOOKUP('Trial Balance'!$A1093,'Code Allocation'!$A:$E,5,0)</f>
        <v>#N/A</v>
      </c>
      <c r="J1093" s="268" t="e">
        <f>VLOOKUP('Trial Balance'!$A1093,'Code Allocation'!$A:$F,6,0)</f>
        <v>#N/A</v>
      </c>
    </row>
    <row r="1094" spans="5:10" ht="12.75" hidden="1" customHeight="1" x14ac:dyDescent="0.25">
      <c r="E1094" s="305">
        <f>SUMIF(Adjustments!A:A,A1094,Adjustments!C:C)</f>
        <v>0</v>
      </c>
      <c r="F1094" s="278">
        <f t="shared" si="16"/>
        <v>0</v>
      </c>
      <c r="G1094" s="263" t="e">
        <v>#N/A</v>
      </c>
      <c r="H1094" s="266" t="e">
        <f>VLOOKUP('Trial Balance'!$A1094,'Code Allocation'!$A:$D,4,0)</f>
        <v>#N/A</v>
      </c>
      <c r="I1094" s="267" t="e">
        <f>VLOOKUP('Trial Balance'!$A1094,'Code Allocation'!$A:$E,5,0)</f>
        <v>#N/A</v>
      </c>
      <c r="J1094" s="268" t="e">
        <f>VLOOKUP('Trial Balance'!$A1094,'Code Allocation'!$A:$F,6,0)</f>
        <v>#N/A</v>
      </c>
    </row>
    <row r="1095" spans="5:10" ht="12.75" hidden="1" customHeight="1" x14ac:dyDescent="0.25">
      <c r="E1095" s="305">
        <f>SUMIF(Adjustments!A:A,A1095,Adjustments!C:C)</f>
        <v>0</v>
      </c>
      <c r="F1095" s="278">
        <f t="shared" si="16"/>
        <v>0</v>
      </c>
      <c r="G1095" s="263" t="e">
        <v>#N/A</v>
      </c>
      <c r="H1095" s="266" t="e">
        <f>VLOOKUP('Trial Balance'!$A1095,'Code Allocation'!$A:$D,4,0)</f>
        <v>#N/A</v>
      </c>
      <c r="I1095" s="267" t="e">
        <f>VLOOKUP('Trial Balance'!$A1095,'Code Allocation'!$A:$E,5,0)</f>
        <v>#N/A</v>
      </c>
      <c r="J1095" s="268" t="e">
        <f>VLOOKUP('Trial Balance'!$A1095,'Code Allocation'!$A:$F,6,0)</f>
        <v>#N/A</v>
      </c>
    </row>
    <row r="1096" spans="5:10" ht="12.75" hidden="1" customHeight="1" x14ac:dyDescent="0.25">
      <c r="E1096" s="305">
        <f>SUMIF(Adjustments!A:A,A1096,Adjustments!C:C)</f>
        <v>0</v>
      </c>
      <c r="F1096" s="278">
        <f t="shared" si="16"/>
        <v>0</v>
      </c>
      <c r="G1096" s="263" t="e">
        <v>#N/A</v>
      </c>
      <c r="H1096" s="266" t="e">
        <f>VLOOKUP('Trial Balance'!$A1096,'Code Allocation'!$A:$D,4,0)</f>
        <v>#N/A</v>
      </c>
      <c r="I1096" s="267" t="e">
        <f>VLOOKUP('Trial Balance'!$A1096,'Code Allocation'!$A:$E,5,0)</f>
        <v>#N/A</v>
      </c>
      <c r="J1096" s="268" t="e">
        <f>VLOOKUP('Trial Balance'!$A1096,'Code Allocation'!$A:$F,6,0)</f>
        <v>#N/A</v>
      </c>
    </row>
    <row r="1097" spans="5:10" ht="12.75" hidden="1" customHeight="1" x14ac:dyDescent="0.25">
      <c r="E1097" s="305">
        <f>SUMIF(Adjustments!A:A,A1097,Adjustments!C:C)</f>
        <v>0</v>
      </c>
      <c r="F1097" s="278">
        <f t="shared" si="16"/>
        <v>0</v>
      </c>
      <c r="G1097" s="263" t="e">
        <v>#N/A</v>
      </c>
      <c r="H1097" s="266" t="e">
        <f>VLOOKUP('Trial Balance'!$A1097,'Code Allocation'!$A:$D,4,0)</f>
        <v>#N/A</v>
      </c>
      <c r="I1097" s="267" t="e">
        <f>VLOOKUP('Trial Balance'!$A1097,'Code Allocation'!$A:$E,5,0)</f>
        <v>#N/A</v>
      </c>
      <c r="J1097" s="268" t="e">
        <f>VLOOKUP('Trial Balance'!$A1097,'Code Allocation'!$A:$F,6,0)</f>
        <v>#N/A</v>
      </c>
    </row>
    <row r="1098" spans="5:10" ht="12.75" hidden="1" customHeight="1" x14ac:dyDescent="0.25">
      <c r="E1098" s="305">
        <f>SUMIF(Adjustments!A:A,A1098,Adjustments!C:C)</f>
        <v>0</v>
      </c>
      <c r="F1098" s="278">
        <f t="shared" si="16"/>
        <v>0</v>
      </c>
      <c r="G1098" s="263" t="e">
        <v>#N/A</v>
      </c>
      <c r="H1098" s="266" t="e">
        <f>VLOOKUP('Trial Balance'!$A1098,'Code Allocation'!$A:$D,4,0)</f>
        <v>#N/A</v>
      </c>
      <c r="I1098" s="267" t="e">
        <f>VLOOKUP('Trial Balance'!$A1098,'Code Allocation'!$A:$E,5,0)</f>
        <v>#N/A</v>
      </c>
      <c r="J1098" s="268" t="e">
        <f>VLOOKUP('Trial Balance'!$A1098,'Code Allocation'!$A:$F,6,0)</f>
        <v>#N/A</v>
      </c>
    </row>
    <row r="1099" spans="5:10" ht="12.75" hidden="1" customHeight="1" x14ac:dyDescent="0.25">
      <c r="E1099" s="305">
        <f>SUMIF(Adjustments!A:A,A1099,Adjustments!C:C)</f>
        <v>0</v>
      </c>
      <c r="F1099" s="278">
        <f t="shared" si="16"/>
        <v>0</v>
      </c>
      <c r="G1099" s="263" t="e">
        <v>#N/A</v>
      </c>
      <c r="H1099" s="266" t="e">
        <f>VLOOKUP('Trial Balance'!$A1099,'Code Allocation'!$A:$D,4,0)</f>
        <v>#N/A</v>
      </c>
      <c r="I1099" s="267" t="e">
        <f>VLOOKUP('Trial Balance'!$A1099,'Code Allocation'!$A:$E,5,0)</f>
        <v>#N/A</v>
      </c>
      <c r="J1099" s="268" t="e">
        <f>VLOOKUP('Trial Balance'!$A1099,'Code Allocation'!$A:$F,6,0)</f>
        <v>#N/A</v>
      </c>
    </row>
    <row r="1100" spans="5:10" ht="12.75" hidden="1" customHeight="1" x14ac:dyDescent="0.25">
      <c r="E1100" s="305">
        <f>SUMIF(Adjustments!A:A,A1100,Adjustments!C:C)</f>
        <v>0</v>
      </c>
      <c r="F1100" s="278">
        <f t="shared" si="16"/>
        <v>0</v>
      </c>
      <c r="G1100" s="263" t="e">
        <v>#N/A</v>
      </c>
      <c r="H1100" s="266" t="e">
        <f>VLOOKUP('Trial Balance'!$A1100,'Code Allocation'!$A:$D,4,0)</f>
        <v>#N/A</v>
      </c>
      <c r="I1100" s="267" t="e">
        <f>VLOOKUP('Trial Balance'!$A1100,'Code Allocation'!$A:$E,5,0)</f>
        <v>#N/A</v>
      </c>
      <c r="J1100" s="268" t="e">
        <f>VLOOKUP('Trial Balance'!$A1100,'Code Allocation'!$A:$F,6,0)</f>
        <v>#N/A</v>
      </c>
    </row>
    <row r="1101" spans="5:10" ht="12.75" hidden="1" customHeight="1" x14ac:dyDescent="0.25">
      <c r="E1101" s="305">
        <f>SUMIF(Adjustments!A:A,A1101,Adjustments!C:C)</f>
        <v>0</v>
      </c>
      <c r="F1101" s="278">
        <f t="shared" si="16"/>
        <v>0</v>
      </c>
      <c r="G1101" s="263" t="e">
        <v>#N/A</v>
      </c>
      <c r="H1101" s="266" t="e">
        <f>VLOOKUP('Trial Balance'!$A1101,'Code Allocation'!$A:$D,4,0)</f>
        <v>#N/A</v>
      </c>
      <c r="I1101" s="267" t="e">
        <f>VLOOKUP('Trial Balance'!$A1101,'Code Allocation'!$A:$E,5,0)</f>
        <v>#N/A</v>
      </c>
      <c r="J1101" s="268" t="e">
        <f>VLOOKUP('Trial Balance'!$A1101,'Code Allocation'!$A:$F,6,0)</f>
        <v>#N/A</v>
      </c>
    </row>
    <row r="1102" spans="5:10" ht="12.75" hidden="1" customHeight="1" x14ac:dyDescent="0.25">
      <c r="E1102" s="305">
        <f>SUMIF(Adjustments!A:A,A1102,Adjustments!C:C)</f>
        <v>0</v>
      </c>
      <c r="F1102" s="278">
        <f t="shared" si="16"/>
        <v>0</v>
      </c>
      <c r="G1102" s="263" t="e">
        <v>#N/A</v>
      </c>
      <c r="H1102" s="266" t="e">
        <f>VLOOKUP('Trial Balance'!$A1102,'Code Allocation'!$A:$D,4,0)</f>
        <v>#N/A</v>
      </c>
      <c r="I1102" s="267" t="e">
        <f>VLOOKUP('Trial Balance'!$A1102,'Code Allocation'!$A:$E,5,0)</f>
        <v>#N/A</v>
      </c>
      <c r="J1102" s="268" t="e">
        <f>VLOOKUP('Trial Balance'!$A1102,'Code Allocation'!$A:$F,6,0)</f>
        <v>#N/A</v>
      </c>
    </row>
    <row r="1103" spans="5:10" ht="12.75" hidden="1" customHeight="1" x14ac:dyDescent="0.25">
      <c r="E1103" s="305">
        <f>SUMIF(Adjustments!A:A,A1103,Adjustments!C:C)</f>
        <v>0</v>
      </c>
      <c r="F1103" s="278">
        <f t="shared" si="16"/>
        <v>0</v>
      </c>
      <c r="G1103" s="263" t="e">
        <v>#N/A</v>
      </c>
      <c r="H1103" s="266" t="e">
        <f>VLOOKUP('Trial Balance'!$A1103,'Code Allocation'!$A:$D,4,0)</f>
        <v>#N/A</v>
      </c>
      <c r="I1103" s="267" t="e">
        <f>VLOOKUP('Trial Balance'!$A1103,'Code Allocation'!$A:$E,5,0)</f>
        <v>#N/A</v>
      </c>
      <c r="J1103" s="268" t="e">
        <f>VLOOKUP('Trial Balance'!$A1103,'Code Allocation'!$A:$F,6,0)</f>
        <v>#N/A</v>
      </c>
    </row>
    <row r="1104" spans="5:10" ht="12.75" hidden="1" customHeight="1" x14ac:dyDescent="0.25">
      <c r="E1104" s="305">
        <f>SUMIF(Adjustments!A:A,A1104,Adjustments!C:C)</f>
        <v>0</v>
      </c>
      <c r="F1104" s="278">
        <f t="shared" si="16"/>
        <v>0</v>
      </c>
      <c r="G1104" s="263" t="e">
        <v>#N/A</v>
      </c>
      <c r="H1104" s="266" t="e">
        <f>VLOOKUP('Trial Balance'!$A1104,'Code Allocation'!$A:$D,4,0)</f>
        <v>#N/A</v>
      </c>
      <c r="I1104" s="267" t="e">
        <f>VLOOKUP('Trial Balance'!$A1104,'Code Allocation'!$A:$E,5,0)</f>
        <v>#N/A</v>
      </c>
      <c r="J1104" s="268" t="e">
        <f>VLOOKUP('Trial Balance'!$A1104,'Code Allocation'!$A:$F,6,0)</f>
        <v>#N/A</v>
      </c>
    </row>
    <row r="1105" spans="5:10" ht="12.75" hidden="1" customHeight="1" x14ac:dyDescent="0.25">
      <c r="E1105" s="305">
        <f>SUMIF(Adjustments!A:A,A1105,Adjustments!C:C)</f>
        <v>0</v>
      </c>
      <c r="F1105" s="278">
        <f t="shared" si="16"/>
        <v>0</v>
      </c>
      <c r="G1105" s="263" t="e">
        <v>#N/A</v>
      </c>
      <c r="H1105" s="266" t="e">
        <f>VLOOKUP('Trial Balance'!$A1105,'Code Allocation'!$A:$D,4,0)</f>
        <v>#N/A</v>
      </c>
      <c r="I1105" s="267" t="e">
        <f>VLOOKUP('Trial Balance'!$A1105,'Code Allocation'!$A:$E,5,0)</f>
        <v>#N/A</v>
      </c>
      <c r="J1105" s="268" t="e">
        <f>VLOOKUP('Trial Balance'!$A1105,'Code Allocation'!$A:$F,6,0)</f>
        <v>#N/A</v>
      </c>
    </row>
    <row r="1106" spans="5:10" ht="12.75" hidden="1" customHeight="1" x14ac:dyDescent="0.25">
      <c r="E1106" s="305">
        <f>SUMIF(Adjustments!A:A,A1106,Adjustments!C:C)</f>
        <v>0</v>
      </c>
      <c r="F1106" s="278">
        <f t="shared" si="16"/>
        <v>0</v>
      </c>
      <c r="G1106" s="263" t="e">
        <v>#N/A</v>
      </c>
      <c r="H1106" s="266" t="e">
        <f>VLOOKUP('Trial Balance'!$A1106,'Code Allocation'!$A:$D,4,0)</f>
        <v>#N/A</v>
      </c>
      <c r="I1106" s="267" t="e">
        <f>VLOOKUP('Trial Balance'!$A1106,'Code Allocation'!$A:$E,5,0)</f>
        <v>#N/A</v>
      </c>
      <c r="J1106" s="268" t="e">
        <f>VLOOKUP('Trial Balance'!$A1106,'Code Allocation'!$A:$F,6,0)</f>
        <v>#N/A</v>
      </c>
    </row>
    <row r="1107" spans="5:10" ht="12.75" hidden="1" customHeight="1" x14ac:dyDescent="0.25">
      <c r="E1107" s="305">
        <f>SUMIF(Adjustments!A:A,A1107,Adjustments!C:C)</f>
        <v>0</v>
      </c>
      <c r="F1107" s="278">
        <f t="shared" si="16"/>
        <v>0</v>
      </c>
      <c r="G1107" s="263" t="e">
        <v>#N/A</v>
      </c>
      <c r="H1107" s="266" t="e">
        <f>VLOOKUP('Trial Balance'!$A1107,'Code Allocation'!$A:$D,4,0)</f>
        <v>#N/A</v>
      </c>
      <c r="I1107" s="267" t="e">
        <f>VLOOKUP('Trial Balance'!$A1107,'Code Allocation'!$A:$E,5,0)</f>
        <v>#N/A</v>
      </c>
      <c r="J1107" s="268" t="e">
        <f>VLOOKUP('Trial Balance'!$A1107,'Code Allocation'!$A:$F,6,0)</f>
        <v>#N/A</v>
      </c>
    </row>
    <row r="1108" spans="5:10" ht="12.75" hidden="1" customHeight="1" x14ac:dyDescent="0.25">
      <c r="E1108" s="305">
        <f>SUMIF(Adjustments!A:A,A1108,Adjustments!C:C)</f>
        <v>0</v>
      </c>
      <c r="F1108" s="278">
        <f t="shared" si="16"/>
        <v>0</v>
      </c>
      <c r="G1108" s="263" t="e">
        <v>#N/A</v>
      </c>
      <c r="H1108" s="266" t="e">
        <f>VLOOKUP('Trial Balance'!$A1108,'Code Allocation'!$A:$D,4,0)</f>
        <v>#N/A</v>
      </c>
      <c r="I1108" s="267" t="e">
        <f>VLOOKUP('Trial Balance'!$A1108,'Code Allocation'!$A:$E,5,0)</f>
        <v>#N/A</v>
      </c>
      <c r="J1108" s="268" t="e">
        <f>VLOOKUP('Trial Balance'!$A1108,'Code Allocation'!$A:$F,6,0)</f>
        <v>#N/A</v>
      </c>
    </row>
    <row r="1109" spans="5:10" ht="12.75" hidden="1" customHeight="1" x14ac:dyDescent="0.25">
      <c r="E1109" s="305">
        <f>SUMIF(Adjustments!A:A,A1109,Adjustments!C:C)</f>
        <v>0</v>
      </c>
      <c r="F1109" s="278">
        <f t="shared" si="16"/>
        <v>0</v>
      </c>
      <c r="G1109" s="263" t="e">
        <v>#N/A</v>
      </c>
      <c r="H1109" s="266" t="e">
        <f>VLOOKUP('Trial Balance'!$A1109,'Code Allocation'!$A:$D,4,0)</f>
        <v>#N/A</v>
      </c>
      <c r="I1109" s="267" t="e">
        <f>VLOOKUP('Trial Balance'!$A1109,'Code Allocation'!$A:$E,5,0)</f>
        <v>#N/A</v>
      </c>
      <c r="J1109" s="268" t="e">
        <f>VLOOKUP('Trial Balance'!$A1109,'Code Allocation'!$A:$F,6,0)</f>
        <v>#N/A</v>
      </c>
    </row>
    <row r="1110" spans="5:10" ht="12.75" hidden="1" customHeight="1" x14ac:dyDescent="0.25">
      <c r="E1110" s="305">
        <f>SUMIF(Adjustments!A:A,A1110,Adjustments!C:C)</f>
        <v>0</v>
      </c>
      <c r="F1110" s="278">
        <f t="shared" si="16"/>
        <v>0</v>
      </c>
      <c r="G1110" s="263" t="e">
        <v>#N/A</v>
      </c>
      <c r="H1110" s="266" t="e">
        <f>VLOOKUP('Trial Balance'!$A1110,'Code Allocation'!$A:$D,4,0)</f>
        <v>#N/A</v>
      </c>
      <c r="I1110" s="267" t="e">
        <f>VLOOKUP('Trial Balance'!$A1110,'Code Allocation'!$A:$E,5,0)</f>
        <v>#N/A</v>
      </c>
      <c r="J1110" s="268" t="e">
        <f>VLOOKUP('Trial Balance'!$A1110,'Code Allocation'!$A:$F,6,0)</f>
        <v>#N/A</v>
      </c>
    </row>
    <row r="1111" spans="5:10" ht="12.75" hidden="1" customHeight="1" x14ac:dyDescent="0.25">
      <c r="E1111" s="305">
        <f>SUMIF(Adjustments!A:A,A1111,Adjustments!C:C)</f>
        <v>0</v>
      </c>
      <c r="F1111" s="278">
        <f t="shared" si="16"/>
        <v>0</v>
      </c>
      <c r="G1111" s="263" t="e">
        <v>#N/A</v>
      </c>
      <c r="H1111" s="266" t="e">
        <f>VLOOKUP('Trial Balance'!$A1111,'Code Allocation'!$A:$D,4,0)</f>
        <v>#N/A</v>
      </c>
      <c r="I1111" s="267" t="e">
        <f>VLOOKUP('Trial Balance'!$A1111,'Code Allocation'!$A:$E,5,0)</f>
        <v>#N/A</v>
      </c>
      <c r="J1111" s="268" t="e">
        <f>VLOOKUP('Trial Balance'!$A1111,'Code Allocation'!$A:$F,6,0)</f>
        <v>#N/A</v>
      </c>
    </row>
    <row r="1112" spans="5:10" ht="12.75" hidden="1" customHeight="1" x14ac:dyDescent="0.25">
      <c r="E1112" s="305">
        <f>SUMIF(Adjustments!A:A,A1112,Adjustments!C:C)</f>
        <v>0</v>
      </c>
      <c r="F1112" s="278">
        <f t="shared" si="16"/>
        <v>0</v>
      </c>
      <c r="G1112" s="263" t="e">
        <v>#N/A</v>
      </c>
      <c r="H1112" s="266" t="e">
        <f>VLOOKUP('Trial Balance'!$A1112,'Code Allocation'!$A:$D,4,0)</f>
        <v>#N/A</v>
      </c>
      <c r="I1112" s="267" t="e">
        <f>VLOOKUP('Trial Balance'!$A1112,'Code Allocation'!$A:$E,5,0)</f>
        <v>#N/A</v>
      </c>
      <c r="J1112" s="268" t="e">
        <f>VLOOKUP('Trial Balance'!$A1112,'Code Allocation'!$A:$F,6,0)</f>
        <v>#N/A</v>
      </c>
    </row>
    <row r="1113" spans="5:10" ht="12.75" hidden="1" customHeight="1" x14ac:dyDescent="0.25">
      <c r="E1113" s="305">
        <f>SUMIF(Adjustments!A:A,A1113,Adjustments!C:C)</f>
        <v>0</v>
      </c>
      <c r="F1113" s="278">
        <f t="shared" si="16"/>
        <v>0</v>
      </c>
      <c r="G1113" s="263" t="e">
        <v>#N/A</v>
      </c>
      <c r="H1113" s="266" t="e">
        <f>VLOOKUP('Trial Balance'!$A1113,'Code Allocation'!$A:$D,4,0)</f>
        <v>#N/A</v>
      </c>
      <c r="I1113" s="267" t="e">
        <f>VLOOKUP('Trial Balance'!$A1113,'Code Allocation'!$A:$E,5,0)</f>
        <v>#N/A</v>
      </c>
      <c r="J1113" s="268" t="e">
        <f>VLOOKUP('Trial Balance'!$A1113,'Code Allocation'!$A:$F,6,0)</f>
        <v>#N/A</v>
      </c>
    </row>
    <row r="1114" spans="5:10" ht="12.75" hidden="1" customHeight="1" x14ac:dyDescent="0.25">
      <c r="E1114" s="305">
        <f>SUMIF(Adjustments!A:A,A1114,Adjustments!C:C)</f>
        <v>0</v>
      </c>
      <c r="F1114" s="278">
        <f t="shared" si="16"/>
        <v>0</v>
      </c>
      <c r="G1114" s="263" t="e">
        <v>#N/A</v>
      </c>
      <c r="H1114" s="266" t="e">
        <f>VLOOKUP('Trial Balance'!$A1114,'Code Allocation'!$A:$D,4,0)</f>
        <v>#N/A</v>
      </c>
      <c r="I1114" s="267" t="e">
        <f>VLOOKUP('Trial Balance'!$A1114,'Code Allocation'!$A:$E,5,0)</f>
        <v>#N/A</v>
      </c>
      <c r="J1114" s="268" t="e">
        <f>VLOOKUP('Trial Balance'!$A1114,'Code Allocation'!$A:$F,6,0)</f>
        <v>#N/A</v>
      </c>
    </row>
    <row r="1115" spans="5:10" ht="12.75" hidden="1" customHeight="1" x14ac:dyDescent="0.25">
      <c r="E1115" s="305">
        <f>SUMIF(Adjustments!A:A,A1115,Adjustments!C:C)</f>
        <v>0</v>
      </c>
      <c r="F1115" s="278">
        <f t="shared" si="16"/>
        <v>0</v>
      </c>
      <c r="G1115" s="263" t="e">
        <v>#N/A</v>
      </c>
      <c r="H1115" s="266" t="e">
        <f>VLOOKUP('Trial Balance'!$A1115,'Code Allocation'!$A:$D,4,0)</f>
        <v>#N/A</v>
      </c>
      <c r="I1115" s="267" t="e">
        <f>VLOOKUP('Trial Balance'!$A1115,'Code Allocation'!$A:$E,5,0)</f>
        <v>#N/A</v>
      </c>
      <c r="J1115" s="268" t="e">
        <f>VLOOKUP('Trial Balance'!$A1115,'Code Allocation'!$A:$F,6,0)</f>
        <v>#N/A</v>
      </c>
    </row>
    <row r="1116" spans="5:10" ht="12.75" hidden="1" customHeight="1" x14ac:dyDescent="0.25">
      <c r="E1116" s="305">
        <f>SUMIF(Adjustments!A:A,A1116,Adjustments!C:C)</f>
        <v>0</v>
      </c>
      <c r="F1116" s="278">
        <f t="shared" si="16"/>
        <v>0</v>
      </c>
      <c r="G1116" s="263" t="e">
        <v>#N/A</v>
      </c>
      <c r="H1116" s="266" t="e">
        <f>VLOOKUP('Trial Balance'!$A1116,'Code Allocation'!$A:$D,4,0)</f>
        <v>#N/A</v>
      </c>
      <c r="I1116" s="267" t="e">
        <f>VLOOKUP('Trial Balance'!$A1116,'Code Allocation'!$A:$E,5,0)</f>
        <v>#N/A</v>
      </c>
      <c r="J1116" s="268" t="e">
        <f>VLOOKUP('Trial Balance'!$A1116,'Code Allocation'!$A:$F,6,0)</f>
        <v>#N/A</v>
      </c>
    </row>
    <row r="1117" spans="5:10" ht="12.75" hidden="1" customHeight="1" x14ac:dyDescent="0.25">
      <c r="E1117" s="305">
        <f>SUMIF(Adjustments!A:A,A1117,Adjustments!C:C)</f>
        <v>0</v>
      </c>
      <c r="F1117" s="278">
        <f t="shared" si="16"/>
        <v>0</v>
      </c>
      <c r="G1117" s="263" t="e">
        <v>#N/A</v>
      </c>
      <c r="H1117" s="266" t="e">
        <f>VLOOKUP('Trial Balance'!$A1117,'Code Allocation'!$A:$D,4,0)</f>
        <v>#N/A</v>
      </c>
      <c r="I1117" s="267" t="e">
        <f>VLOOKUP('Trial Balance'!$A1117,'Code Allocation'!$A:$E,5,0)</f>
        <v>#N/A</v>
      </c>
      <c r="J1117" s="268" t="e">
        <f>VLOOKUP('Trial Balance'!$A1117,'Code Allocation'!$A:$F,6,0)</f>
        <v>#N/A</v>
      </c>
    </row>
    <row r="1118" spans="5:10" ht="12.75" hidden="1" customHeight="1" x14ac:dyDescent="0.25">
      <c r="E1118" s="305">
        <f>SUMIF(Adjustments!A:A,A1118,Adjustments!C:C)</f>
        <v>0</v>
      </c>
      <c r="F1118" s="278">
        <f t="shared" si="16"/>
        <v>0</v>
      </c>
      <c r="G1118" s="263" t="e">
        <v>#N/A</v>
      </c>
      <c r="H1118" s="266" t="e">
        <f>VLOOKUP('Trial Balance'!$A1118,'Code Allocation'!$A:$D,4,0)</f>
        <v>#N/A</v>
      </c>
      <c r="I1118" s="267" t="e">
        <f>VLOOKUP('Trial Balance'!$A1118,'Code Allocation'!$A:$E,5,0)</f>
        <v>#N/A</v>
      </c>
      <c r="J1118" s="268" t="e">
        <f>VLOOKUP('Trial Balance'!$A1118,'Code Allocation'!$A:$F,6,0)</f>
        <v>#N/A</v>
      </c>
    </row>
    <row r="1119" spans="5:10" ht="12.75" hidden="1" customHeight="1" x14ac:dyDescent="0.25">
      <c r="E1119" s="305">
        <f>SUMIF(Adjustments!A:A,A1119,Adjustments!C:C)</f>
        <v>0</v>
      </c>
      <c r="F1119" s="278">
        <f t="shared" si="16"/>
        <v>0</v>
      </c>
      <c r="G1119" s="263" t="e">
        <v>#N/A</v>
      </c>
      <c r="H1119" s="266" t="e">
        <v>#N/A</v>
      </c>
      <c r="I1119" s="267" t="e">
        <f>VLOOKUP('Trial Balance'!$A1119,'Code Allocation'!$A:$E,5,0)</f>
        <v>#N/A</v>
      </c>
      <c r="J1119" s="268" t="e">
        <f>VLOOKUP('Trial Balance'!$A1119,'Code Allocation'!$A:$F,6,0)</f>
        <v>#N/A</v>
      </c>
    </row>
    <row r="1120" spans="5:10" ht="12.75" hidden="1" customHeight="1" x14ac:dyDescent="0.25">
      <c r="E1120" s="305">
        <f>SUMIF(Adjustments!A:A,A1120,Adjustments!C:C)</f>
        <v>0</v>
      </c>
      <c r="F1120" s="278">
        <f t="shared" si="16"/>
        <v>0</v>
      </c>
      <c r="G1120" s="263" t="e">
        <v>#N/A</v>
      </c>
      <c r="H1120" s="266" t="e">
        <v>#N/A</v>
      </c>
      <c r="I1120" s="267" t="e">
        <f>VLOOKUP('Trial Balance'!$A1120,'Code Allocation'!$A:$E,5,0)</f>
        <v>#N/A</v>
      </c>
      <c r="J1120" s="268" t="e">
        <f>VLOOKUP('Trial Balance'!$A1120,'Code Allocation'!$A:$F,6,0)</f>
        <v>#N/A</v>
      </c>
    </row>
    <row r="1121" spans="5:10" ht="12.75" hidden="1" customHeight="1" x14ac:dyDescent="0.25">
      <c r="E1121" s="305">
        <f>SUMIF(Adjustments!A:A,A1121,Adjustments!C:C)</f>
        <v>0</v>
      </c>
      <c r="F1121" s="278">
        <f t="shared" si="16"/>
        <v>0</v>
      </c>
      <c r="G1121" s="263" t="e">
        <v>#N/A</v>
      </c>
      <c r="H1121" s="266" t="e">
        <v>#N/A</v>
      </c>
      <c r="I1121" s="267" t="e">
        <f>VLOOKUP('Trial Balance'!$A1121,'Code Allocation'!$A:$E,5,0)</f>
        <v>#N/A</v>
      </c>
      <c r="J1121" s="268" t="e">
        <f>VLOOKUP('Trial Balance'!$A1121,'Code Allocation'!$A:$F,6,0)</f>
        <v>#N/A</v>
      </c>
    </row>
    <row r="1122" spans="5:10" ht="12.75" hidden="1" customHeight="1" x14ac:dyDescent="0.25">
      <c r="E1122" s="305">
        <f>SUMIF(Adjustments!A:A,A1122,Adjustments!C:C)</f>
        <v>0</v>
      </c>
      <c r="F1122" s="278">
        <f t="shared" si="16"/>
        <v>0</v>
      </c>
      <c r="G1122" s="263" t="e">
        <v>#N/A</v>
      </c>
      <c r="H1122" s="266" t="e">
        <v>#N/A</v>
      </c>
      <c r="I1122" s="267" t="e">
        <f>VLOOKUP('Trial Balance'!$A1122,'Code Allocation'!$A:$E,5,0)</f>
        <v>#N/A</v>
      </c>
      <c r="J1122" s="268" t="e">
        <f>VLOOKUP('Trial Balance'!$A1122,'Code Allocation'!$A:$F,6,0)</f>
        <v>#N/A</v>
      </c>
    </row>
    <row r="1123" spans="5:10" ht="12.75" hidden="1" customHeight="1" x14ac:dyDescent="0.25">
      <c r="E1123" s="305">
        <f>SUMIF(Adjustments!A:A,A1123,Adjustments!C:C)</f>
        <v>0</v>
      </c>
      <c r="F1123" s="278">
        <f t="shared" si="16"/>
        <v>0</v>
      </c>
      <c r="G1123" s="263" t="e">
        <v>#N/A</v>
      </c>
      <c r="H1123" s="266" t="e">
        <v>#N/A</v>
      </c>
      <c r="I1123" s="267" t="e">
        <f>VLOOKUP('Trial Balance'!$A1123,'Code Allocation'!$A:$E,5,0)</f>
        <v>#N/A</v>
      </c>
      <c r="J1123" s="268" t="e">
        <f>VLOOKUP('Trial Balance'!$A1123,'Code Allocation'!$A:$F,6,0)</f>
        <v>#N/A</v>
      </c>
    </row>
    <row r="1124" spans="5:10" ht="12.75" hidden="1" customHeight="1" x14ac:dyDescent="0.25">
      <c r="E1124" s="305">
        <f>SUMIF(Adjustments!A:A,A1124,Adjustments!C:C)</f>
        <v>0</v>
      </c>
      <c r="F1124" s="278">
        <f t="shared" si="16"/>
        <v>0</v>
      </c>
      <c r="G1124" s="263" t="e">
        <v>#N/A</v>
      </c>
      <c r="H1124" s="266" t="e">
        <v>#N/A</v>
      </c>
      <c r="I1124" s="267" t="e">
        <f>VLOOKUP('Trial Balance'!$A1124,'Code Allocation'!$A:$E,5,0)</f>
        <v>#N/A</v>
      </c>
      <c r="J1124" s="268" t="e">
        <f>VLOOKUP('Trial Balance'!$A1124,'Code Allocation'!$A:$F,6,0)</f>
        <v>#N/A</v>
      </c>
    </row>
    <row r="1125" spans="5:10" ht="12.75" hidden="1" customHeight="1" x14ac:dyDescent="0.25">
      <c r="E1125" s="305">
        <f>SUMIF(Adjustments!A:A,A1125,Adjustments!C:C)</f>
        <v>0</v>
      </c>
      <c r="F1125" s="278">
        <f t="shared" si="16"/>
        <v>0</v>
      </c>
      <c r="G1125" s="263" t="e">
        <v>#N/A</v>
      </c>
      <c r="H1125" s="266" t="e">
        <v>#N/A</v>
      </c>
      <c r="I1125" s="267" t="e">
        <f>VLOOKUP('Trial Balance'!$A1125,'Code Allocation'!$A:$E,5,0)</f>
        <v>#N/A</v>
      </c>
      <c r="J1125" s="268" t="e">
        <f>VLOOKUP('Trial Balance'!$A1125,'Code Allocation'!$A:$F,6,0)</f>
        <v>#N/A</v>
      </c>
    </row>
    <row r="1126" spans="5:10" ht="12.75" hidden="1" customHeight="1" x14ac:dyDescent="0.25">
      <c r="E1126" s="305">
        <f>SUMIF(Adjustments!A:A,A1126,Adjustments!C:C)</f>
        <v>0</v>
      </c>
      <c r="F1126" s="278">
        <f t="shared" si="16"/>
        <v>0</v>
      </c>
      <c r="G1126" s="263" t="e">
        <v>#N/A</v>
      </c>
      <c r="H1126" s="266" t="e">
        <v>#N/A</v>
      </c>
      <c r="I1126" s="267" t="e">
        <f>VLOOKUP('Trial Balance'!$A1126,'Code Allocation'!$A:$E,5,0)</f>
        <v>#N/A</v>
      </c>
      <c r="J1126" s="268" t="e">
        <f>VLOOKUP('Trial Balance'!$A1126,'Code Allocation'!$A:$F,6,0)</f>
        <v>#N/A</v>
      </c>
    </row>
    <row r="1127" spans="5:10" ht="12.75" hidden="1" customHeight="1" x14ac:dyDescent="0.25">
      <c r="E1127" s="305">
        <f>SUMIF(Adjustments!A:A,A1127,Adjustments!C:C)</f>
        <v>0</v>
      </c>
      <c r="F1127" s="278">
        <f t="shared" si="16"/>
        <v>0</v>
      </c>
      <c r="G1127" s="263" t="e">
        <v>#N/A</v>
      </c>
      <c r="H1127" s="266" t="e">
        <v>#N/A</v>
      </c>
      <c r="I1127" s="267" t="e">
        <f>VLOOKUP('Trial Balance'!$A1127,'Code Allocation'!$A:$E,5,0)</f>
        <v>#N/A</v>
      </c>
      <c r="J1127" s="268" t="e">
        <f>VLOOKUP('Trial Balance'!$A1127,'Code Allocation'!$A:$F,6,0)</f>
        <v>#N/A</v>
      </c>
    </row>
    <row r="1128" spans="5:10" ht="12.75" hidden="1" customHeight="1" x14ac:dyDescent="0.25">
      <c r="E1128" s="305">
        <f>SUMIF(Adjustments!A:A,A1128,Adjustments!C:C)</f>
        <v>0</v>
      </c>
      <c r="F1128" s="278">
        <f t="shared" si="16"/>
        <v>0</v>
      </c>
      <c r="G1128" s="263" t="e">
        <v>#N/A</v>
      </c>
      <c r="H1128" s="266" t="e">
        <v>#N/A</v>
      </c>
      <c r="I1128" s="267" t="e">
        <f>VLOOKUP('Trial Balance'!$A1128,'Code Allocation'!$A:$E,5,0)</f>
        <v>#N/A</v>
      </c>
      <c r="J1128" s="268" t="e">
        <f>VLOOKUP('Trial Balance'!$A1128,'Code Allocation'!$A:$F,6,0)</f>
        <v>#N/A</v>
      </c>
    </row>
    <row r="1129" spans="5:10" ht="12.75" hidden="1" customHeight="1" x14ac:dyDescent="0.25">
      <c r="E1129" s="305">
        <f>SUMIF(Adjustments!A:A,A1129,Adjustments!C:C)</f>
        <v>0</v>
      </c>
      <c r="F1129" s="278">
        <f t="shared" si="16"/>
        <v>0</v>
      </c>
      <c r="G1129" s="263" t="e">
        <v>#N/A</v>
      </c>
      <c r="H1129" s="266" t="e">
        <v>#N/A</v>
      </c>
      <c r="I1129" s="267" t="e">
        <f>VLOOKUP('Trial Balance'!$A1129,'Code Allocation'!$A:$E,5,0)</f>
        <v>#N/A</v>
      </c>
      <c r="J1129" s="268" t="e">
        <f>VLOOKUP('Trial Balance'!$A1129,'Code Allocation'!$A:$F,6,0)</f>
        <v>#N/A</v>
      </c>
    </row>
    <row r="1130" spans="5:10" ht="12.75" hidden="1" customHeight="1" x14ac:dyDescent="0.25">
      <c r="E1130" s="305">
        <f>SUMIF(Adjustments!A:A,A1130,Adjustments!C:C)</f>
        <v>0</v>
      </c>
      <c r="F1130" s="278">
        <f t="shared" si="16"/>
        <v>0</v>
      </c>
      <c r="G1130" s="263" t="e">
        <v>#N/A</v>
      </c>
      <c r="H1130" s="266" t="e">
        <v>#N/A</v>
      </c>
      <c r="I1130" s="267" t="e">
        <f>VLOOKUP('Trial Balance'!$A1130,'Code Allocation'!$A:$E,5,0)</f>
        <v>#N/A</v>
      </c>
      <c r="J1130" s="268" t="e">
        <f>VLOOKUP('Trial Balance'!$A1130,'Code Allocation'!$A:$F,6,0)</f>
        <v>#N/A</v>
      </c>
    </row>
    <row r="1131" spans="5:10" ht="12.75" hidden="1" customHeight="1" x14ac:dyDescent="0.25">
      <c r="E1131" s="305">
        <f>SUMIF(Adjustments!A:A,A1131,Adjustments!C:C)</f>
        <v>0</v>
      </c>
      <c r="F1131" s="278">
        <f t="shared" si="16"/>
        <v>0</v>
      </c>
      <c r="G1131" s="263" t="e">
        <v>#N/A</v>
      </c>
      <c r="H1131" s="266" t="e">
        <v>#N/A</v>
      </c>
      <c r="I1131" s="267" t="e">
        <f>VLOOKUP('Trial Balance'!$A1131,'Code Allocation'!$A:$E,5,0)</f>
        <v>#N/A</v>
      </c>
      <c r="J1131" s="268" t="e">
        <f>VLOOKUP('Trial Balance'!$A1131,'Code Allocation'!$A:$F,6,0)</f>
        <v>#N/A</v>
      </c>
    </row>
    <row r="1132" spans="5:10" ht="12.75" hidden="1" customHeight="1" x14ac:dyDescent="0.25">
      <c r="E1132" s="305">
        <f>SUMIF(Adjustments!A:A,A1132,Adjustments!C:C)</f>
        <v>0</v>
      </c>
      <c r="F1132" s="278">
        <f t="shared" ref="F1132:F1195" si="17">C1132-D1132+E1132</f>
        <v>0</v>
      </c>
      <c r="G1132" s="263" t="e">
        <v>#N/A</v>
      </c>
      <c r="H1132" s="266" t="e">
        <v>#N/A</v>
      </c>
      <c r="I1132" s="267" t="e">
        <f>VLOOKUP('Trial Balance'!$A1132,'Code Allocation'!$A:$E,5,0)</f>
        <v>#N/A</v>
      </c>
      <c r="J1132" s="268" t="e">
        <f>VLOOKUP('Trial Balance'!$A1132,'Code Allocation'!$A:$F,6,0)</f>
        <v>#N/A</v>
      </c>
    </row>
    <row r="1133" spans="5:10" ht="12.75" hidden="1" customHeight="1" x14ac:dyDescent="0.25">
      <c r="E1133" s="305">
        <f>SUMIF(Adjustments!A:A,A1133,Adjustments!C:C)</f>
        <v>0</v>
      </c>
      <c r="F1133" s="278">
        <f t="shared" si="17"/>
        <v>0</v>
      </c>
      <c r="G1133" s="263" t="e">
        <v>#N/A</v>
      </c>
      <c r="H1133" s="266" t="e">
        <v>#N/A</v>
      </c>
      <c r="I1133" s="267" t="e">
        <f>VLOOKUP('Trial Balance'!$A1133,'Code Allocation'!$A:$E,5,0)</f>
        <v>#N/A</v>
      </c>
      <c r="J1133" s="268" t="e">
        <f>VLOOKUP('Trial Balance'!$A1133,'Code Allocation'!$A:$F,6,0)</f>
        <v>#N/A</v>
      </c>
    </row>
    <row r="1134" spans="5:10" ht="12.75" hidden="1" customHeight="1" x14ac:dyDescent="0.25">
      <c r="E1134" s="305">
        <f>SUMIF(Adjustments!A:A,A1134,Adjustments!C:C)</f>
        <v>0</v>
      </c>
      <c r="F1134" s="278">
        <f t="shared" si="17"/>
        <v>0</v>
      </c>
      <c r="G1134" s="263" t="e">
        <v>#N/A</v>
      </c>
      <c r="H1134" s="266" t="e">
        <v>#N/A</v>
      </c>
      <c r="I1134" s="267" t="e">
        <f>VLOOKUP('Trial Balance'!$A1134,'Code Allocation'!$A:$E,5,0)</f>
        <v>#N/A</v>
      </c>
      <c r="J1134" s="268" t="e">
        <f>VLOOKUP('Trial Balance'!$A1134,'Code Allocation'!$A:$F,6,0)</f>
        <v>#N/A</v>
      </c>
    </row>
    <row r="1135" spans="5:10" ht="12.75" hidden="1" customHeight="1" x14ac:dyDescent="0.25">
      <c r="E1135" s="305">
        <f>SUMIF(Adjustments!A:A,A1135,Adjustments!C:C)</f>
        <v>0</v>
      </c>
      <c r="F1135" s="278">
        <f t="shared" si="17"/>
        <v>0</v>
      </c>
      <c r="G1135" s="263" t="e">
        <v>#N/A</v>
      </c>
      <c r="H1135" s="266" t="e">
        <v>#N/A</v>
      </c>
      <c r="I1135" s="267" t="e">
        <f>VLOOKUP('Trial Balance'!$A1135,'Code Allocation'!$A:$E,5,0)</f>
        <v>#N/A</v>
      </c>
      <c r="J1135" s="268" t="e">
        <f>VLOOKUP('Trial Balance'!$A1135,'Code Allocation'!$A:$F,6,0)</f>
        <v>#N/A</v>
      </c>
    </row>
    <row r="1136" spans="5:10" ht="12.75" hidden="1" customHeight="1" x14ac:dyDescent="0.25">
      <c r="E1136" s="305">
        <f>SUMIF(Adjustments!A:A,A1136,Adjustments!C:C)</f>
        <v>0</v>
      </c>
      <c r="F1136" s="278">
        <f t="shared" si="17"/>
        <v>0</v>
      </c>
      <c r="G1136" s="263" t="e">
        <v>#N/A</v>
      </c>
      <c r="H1136" s="266" t="e">
        <v>#N/A</v>
      </c>
      <c r="I1136" s="267" t="e">
        <f>VLOOKUP('Trial Balance'!$A1136,'Code Allocation'!$A:$E,5,0)</f>
        <v>#N/A</v>
      </c>
      <c r="J1136" s="268" t="e">
        <f>VLOOKUP('Trial Balance'!$A1136,'Code Allocation'!$A:$F,6,0)</f>
        <v>#N/A</v>
      </c>
    </row>
    <row r="1137" spans="5:10" ht="12.75" hidden="1" customHeight="1" x14ac:dyDescent="0.25">
      <c r="E1137" s="305">
        <f>SUMIF(Adjustments!A:A,A1137,Adjustments!C:C)</f>
        <v>0</v>
      </c>
      <c r="F1137" s="278">
        <f t="shared" si="17"/>
        <v>0</v>
      </c>
      <c r="G1137" s="263" t="e">
        <v>#N/A</v>
      </c>
      <c r="H1137" s="266" t="e">
        <v>#N/A</v>
      </c>
      <c r="I1137" s="267" t="e">
        <f>VLOOKUP('Trial Balance'!$A1137,'Code Allocation'!$A:$E,5,0)</f>
        <v>#N/A</v>
      </c>
      <c r="J1137" s="268" t="e">
        <f>VLOOKUP('Trial Balance'!$A1137,'Code Allocation'!$A:$F,6,0)</f>
        <v>#N/A</v>
      </c>
    </row>
    <row r="1138" spans="5:10" ht="12.75" hidden="1" customHeight="1" x14ac:dyDescent="0.25">
      <c r="E1138" s="305">
        <f>SUMIF(Adjustments!A:A,A1138,Adjustments!C:C)</f>
        <v>0</v>
      </c>
      <c r="F1138" s="278">
        <f t="shared" si="17"/>
        <v>0</v>
      </c>
      <c r="G1138" s="263" t="e">
        <v>#N/A</v>
      </c>
      <c r="H1138" s="266" t="e">
        <v>#N/A</v>
      </c>
      <c r="I1138" s="267" t="e">
        <f>VLOOKUP('Trial Balance'!$A1138,'Code Allocation'!$A:$E,5,0)</f>
        <v>#N/A</v>
      </c>
      <c r="J1138" s="268" t="e">
        <f>VLOOKUP('Trial Balance'!$A1138,'Code Allocation'!$A:$F,6,0)</f>
        <v>#N/A</v>
      </c>
    </row>
    <row r="1139" spans="5:10" ht="12.75" hidden="1" customHeight="1" x14ac:dyDescent="0.25">
      <c r="E1139" s="305">
        <f>SUMIF(Adjustments!A:A,A1139,Adjustments!C:C)</f>
        <v>0</v>
      </c>
      <c r="F1139" s="278">
        <f t="shared" si="17"/>
        <v>0</v>
      </c>
      <c r="G1139" s="263" t="e">
        <v>#N/A</v>
      </c>
      <c r="H1139" s="266" t="e">
        <v>#N/A</v>
      </c>
      <c r="I1139" s="267" t="e">
        <f>VLOOKUP('Trial Balance'!$A1139,'Code Allocation'!$A:$E,5,0)</f>
        <v>#N/A</v>
      </c>
      <c r="J1139" s="268" t="e">
        <f>VLOOKUP('Trial Balance'!$A1139,'Code Allocation'!$A:$F,6,0)</f>
        <v>#N/A</v>
      </c>
    </row>
    <row r="1140" spans="5:10" ht="12.75" hidden="1" customHeight="1" x14ac:dyDescent="0.25">
      <c r="E1140" s="305">
        <f>SUMIF(Adjustments!A:A,A1140,Adjustments!C:C)</f>
        <v>0</v>
      </c>
      <c r="F1140" s="278">
        <f t="shared" si="17"/>
        <v>0</v>
      </c>
      <c r="G1140" s="263" t="e">
        <v>#N/A</v>
      </c>
      <c r="H1140" s="266" t="e">
        <v>#N/A</v>
      </c>
      <c r="I1140" s="267" t="e">
        <f>VLOOKUP('Trial Balance'!$A1140,'Code Allocation'!$A:$E,5,0)</f>
        <v>#N/A</v>
      </c>
      <c r="J1140" s="268" t="e">
        <f>VLOOKUP('Trial Balance'!$A1140,'Code Allocation'!$A:$F,6,0)</f>
        <v>#N/A</v>
      </c>
    </row>
    <row r="1141" spans="5:10" ht="12.75" hidden="1" customHeight="1" x14ac:dyDescent="0.25">
      <c r="E1141" s="305">
        <f>SUMIF(Adjustments!A:A,A1141,Adjustments!C:C)</f>
        <v>0</v>
      </c>
      <c r="F1141" s="278">
        <f t="shared" si="17"/>
        <v>0</v>
      </c>
      <c r="G1141" s="263" t="e">
        <v>#N/A</v>
      </c>
      <c r="H1141" s="266" t="e">
        <v>#N/A</v>
      </c>
      <c r="I1141" s="267" t="e">
        <f>VLOOKUP('Trial Balance'!$A1141,'Code Allocation'!$A:$E,5,0)</f>
        <v>#N/A</v>
      </c>
      <c r="J1141" s="268" t="e">
        <f>VLOOKUP('Trial Balance'!$A1141,'Code Allocation'!$A:$F,6,0)</f>
        <v>#N/A</v>
      </c>
    </row>
    <row r="1142" spans="5:10" ht="12.75" hidden="1" customHeight="1" x14ac:dyDescent="0.25">
      <c r="E1142" s="305">
        <f>SUMIF(Adjustments!A:A,A1142,Adjustments!C:C)</f>
        <v>0</v>
      </c>
      <c r="F1142" s="278">
        <f t="shared" si="17"/>
        <v>0</v>
      </c>
      <c r="G1142" s="263" t="e">
        <v>#N/A</v>
      </c>
      <c r="H1142" s="266" t="e">
        <v>#N/A</v>
      </c>
      <c r="I1142" s="267" t="e">
        <f>VLOOKUP('Trial Balance'!$A1142,'Code Allocation'!$A:$E,5,0)</f>
        <v>#N/A</v>
      </c>
      <c r="J1142" s="268" t="e">
        <f>VLOOKUP('Trial Balance'!$A1142,'Code Allocation'!$A:$F,6,0)</f>
        <v>#N/A</v>
      </c>
    </row>
    <row r="1143" spans="5:10" ht="12.75" hidden="1" customHeight="1" x14ac:dyDescent="0.25">
      <c r="E1143" s="305">
        <f>SUMIF(Adjustments!A:A,A1143,Adjustments!C:C)</f>
        <v>0</v>
      </c>
      <c r="F1143" s="278">
        <f t="shared" si="17"/>
        <v>0</v>
      </c>
      <c r="G1143" s="263" t="e">
        <v>#N/A</v>
      </c>
      <c r="H1143" s="266" t="e">
        <v>#N/A</v>
      </c>
      <c r="I1143" s="267" t="e">
        <f>VLOOKUP('Trial Balance'!$A1143,'Code Allocation'!$A:$E,5,0)</f>
        <v>#N/A</v>
      </c>
      <c r="J1143" s="268" t="e">
        <f>VLOOKUP('Trial Balance'!$A1143,'Code Allocation'!$A:$F,6,0)</f>
        <v>#N/A</v>
      </c>
    </row>
    <row r="1144" spans="5:10" ht="12.75" hidden="1" customHeight="1" x14ac:dyDescent="0.25">
      <c r="E1144" s="305">
        <f>SUMIF(Adjustments!A:A,A1144,Adjustments!C:C)</f>
        <v>0</v>
      </c>
      <c r="F1144" s="278">
        <f t="shared" si="17"/>
        <v>0</v>
      </c>
      <c r="G1144" s="263" t="e">
        <v>#N/A</v>
      </c>
      <c r="H1144" s="266" t="e">
        <v>#N/A</v>
      </c>
      <c r="I1144" s="267" t="e">
        <f>VLOOKUP('Trial Balance'!$A1144,'Code Allocation'!$A:$E,5,0)</f>
        <v>#N/A</v>
      </c>
      <c r="J1144" s="268" t="e">
        <f>VLOOKUP('Trial Balance'!$A1144,'Code Allocation'!$A:$F,6,0)</f>
        <v>#N/A</v>
      </c>
    </row>
    <row r="1145" spans="5:10" ht="12.75" hidden="1" customHeight="1" x14ac:dyDescent="0.25">
      <c r="E1145" s="305">
        <f>SUMIF(Adjustments!A:A,A1145,Adjustments!C:C)</f>
        <v>0</v>
      </c>
      <c r="F1145" s="278">
        <f t="shared" si="17"/>
        <v>0</v>
      </c>
      <c r="G1145" s="263" t="e">
        <v>#N/A</v>
      </c>
      <c r="H1145" s="266" t="e">
        <v>#N/A</v>
      </c>
      <c r="I1145" s="267" t="e">
        <f>VLOOKUP('Trial Balance'!$A1145,'Code Allocation'!$A:$E,5,0)</f>
        <v>#N/A</v>
      </c>
      <c r="J1145" s="268" t="e">
        <f>VLOOKUP('Trial Balance'!$A1145,'Code Allocation'!$A:$F,6,0)</f>
        <v>#N/A</v>
      </c>
    </row>
    <row r="1146" spans="5:10" ht="12.75" hidden="1" customHeight="1" x14ac:dyDescent="0.25">
      <c r="E1146" s="305">
        <f>SUMIF(Adjustments!A:A,A1146,Adjustments!C:C)</f>
        <v>0</v>
      </c>
      <c r="F1146" s="278">
        <f t="shared" si="17"/>
        <v>0</v>
      </c>
      <c r="G1146" s="263" t="e">
        <v>#N/A</v>
      </c>
      <c r="H1146" s="266" t="e">
        <v>#N/A</v>
      </c>
      <c r="I1146" s="267" t="e">
        <f>VLOOKUP('Trial Balance'!$A1146,'Code Allocation'!$A:$E,5,0)</f>
        <v>#N/A</v>
      </c>
      <c r="J1146" s="268" t="e">
        <f>VLOOKUP('Trial Balance'!$A1146,'Code Allocation'!$A:$F,6,0)</f>
        <v>#N/A</v>
      </c>
    </row>
    <row r="1147" spans="5:10" ht="12.75" hidden="1" customHeight="1" x14ac:dyDescent="0.25">
      <c r="E1147" s="305">
        <f>SUMIF(Adjustments!A:A,A1147,Adjustments!C:C)</f>
        <v>0</v>
      </c>
      <c r="F1147" s="278">
        <f t="shared" si="17"/>
        <v>0</v>
      </c>
      <c r="G1147" s="263" t="e">
        <v>#N/A</v>
      </c>
      <c r="H1147" s="266" t="e">
        <v>#N/A</v>
      </c>
      <c r="I1147" s="267" t="e">
        <f>VLOOKUP('Trial Balance'!$A1147,'Code Allocation'!$A:$E,5,0)</f>
        <v>#N/A</v>
      </c>
      <c r="J1147" s="268" t="e">
        <f>VLOOKUP('Trial Balance'!$A1147,'Code Allocation'!$A:$F,6,0)</f>
        <v>#N/A</v>
      </c>
    </row>
    <row r="1148" spans="5:10" ht="12.75" hidden="1" customHeight="1" x14ac:dyDescent="0.25">
      <c r="E1148" s="305">
        <f>SUMIF(Adjustments!A:A,A1148,Adjustments!C:C)</f>
        <v>0</v>
      </c>
      <c r="F1148" s="278">
        <f t="shared" si="17"/>
        <v>0</v>
      </c>
      <c r="G1148" s="263" t="e">
        <v>#N/A</v>
      </c>
      <c r="H1148" s="266" t="e">
        <v>#N/A</v>
      </c>
      <c r="I1148" s="267" t="e">
        <f>VLOOKUP('Trial Balance'!$A1148,'Code Allocation'!$A:$E,5,0)</f>
        <v>#N/A</v>
      </c>
      <c r="J1148" s="268" t="e">
        <f>VLOOKUP('Trial Balance'!$A1148,'Code Allocation'!$A:$F,6,0)</f>
        <v>#N/A</v>
      </c>
    </row>
    <row r="1149" spans="5:10" ht="12.75" hidden="1" customHeight="1" x14ac:dyDescent="0.25">
      <c r="E1149" s="305">
        <f>SUMIF(Adjustments!A:A,A1149,Adjustments!C:C)</f>
        <v>0</v>
      </c>
      <c r="F1149" s="278">
        <f t="shared" si="17"/>
        <v>0</v>
      </c>
      <c r="G1149" s="263" t="e">
        <v>#N/A</v>
      </c>
      <c r="H1149" s="266" t="e">
        <v>#N/A</v>
      </c>
      <c r="I1149" s="267" t="e">
        <f>VLOOKUP('Trial Balance'!$A1149,'Code Allocation'!$A:$E,5,0)</f>
        <v>#N/A</v>
      </c>
      <c r="J1149" s="268" t="e">
        <f>VLOOKUP('Trial Balance'!$A1149,'Code Allocation'!$A:$F,6,0)</f>
        <v>#N/A</v>
      </c>
    </row>
    <row r="1150" spans="5:10" ht="12.75" hidden="1" customHeight="1" x14ac:dyDescent="0.25">
      <c r="E1150" s="305">
        <f>SUMIF(Adjustments!A:A,A1150,Adjustments!C:C)</f>
        <v>0</v>
      </c>
      <c r="F1150" s="278">
        <f t="shared" si="17"/>
        <v>0</v>
      </c>
      <c r="G1150" s="263" t="e">
        <v>#N/A</v>
      </c>
      <c r="H1150" s="266" t="e">
        <v>#N/A</v>
      </c>
      <c r="I1150" s="267" t="e">
        <f>VLOOKUP('Trial Balance'!$A1150,'Code Allocation'!$A:$E,5,0)</f>
        <v>#N/A</v>
      </c>
      <c r="J1150" s="268" t="e">
        <f>VLOOKUP('Trial Balance'!$A1150,'Code Allocation'!$A:$F,6,0)</f>
        <v>#N/A</v>
      </c>
    </row>
    <row r="1151" spans="5:10" ht="12.75" hidden="1" customHeight="1" x14ac:dyDescent="0.25">
      <c r="E1151" s="305">
        <f>SUMIF(Adjustments!A:A,A1151,Adjustments!C:C)</f>
        <v>0</v>
      </c>
      <c r="F1151" s="278">
        <f t="shared" si="17"/>
        <v>0</v>
      </c>
      <c r="G1151" s="263" t="e">
        <v>#N/A</v>
      </c>
      <c r="H1151" s="266" t="e">
        <v>#N/A</v>
      </c>
      <c r="I1151" s="267" t="e">
        <f>VLOOKUP('Trial Balance'!$A1151,'Code Allocation'!$A:$E,5,0)</f>
        <v>#N/A</v>
      </c>
      <c r="J1151" s="268" t="e">
        <f>VLOOKUP('Trial Balance'!$A1151,'Code Allocation'!$A:$F,6,0)</f>
        <v>#N/A</v>
      </c>
    </row>
    <row r="1152" spans="5:10" ht="12.75" hidden="1" customHeight="1" x14ac:dyDescent="0.25">
      <c r="E1152" s="305">
        <f>SUMIF(Adjustments!A:A,A1152,Adjustments!C:C)</f>
        <v>0</v>
      </c>
      <c r="F1152" s="278">
        <f t="shared" si="17"/>
        <v>0</v>
      </c>
      <c r="G1152" s="263" t="e">
        <v>#N/A</v>
      </c>
      <c r="H1152" s="266" t="e">
        <v>#N/A</v>
      </c>
      <c r="I1152" s="267" t="e">
        <f>VLOOKUP('Trial Balance'!$A1152,'Code Allocation'!$A:$E,5,0)</f>
        <v>#N/A</v>
      </c>
      <c r="J1152" s="268" t="e">
        <f>VLOOKUP('Trial Balance'!$A1152,'Code Allocation'!$A:$F,6,0)</f>
        <v>#N/A</v>
      </c>
    </row>
    <row r="1153" spans="5:10" ht="12.75" hidden="1" customHeight="1" x14ac:dyDescent="0.25">
      <c r="E1153" s="305">
        <f>SUMIF(Adjustments!A:A,A1153,Adjustments!C:C)</f>
        <v>0</v>
      </c>
      <c r="F1153" s="278">
        <f t="shared" si="17"/>
        <v>0</v>
      </c>
      <c r="G1153" s="263" t="e">
        <v>#N/A</v>
      </c>
      <c r="H1153" s="266" t="e">
        <v>#N/A</v>
      </c>
      <c r="I1153" s="267" t="e">
        <f>VLOOKUP('Trial Balance'!$A1153,'Code Allocation'!$A:$E,5,0)</f>
        <v>#N/A</v>
      </c>
      <c r="J1153" s="268" t="e">
        <f>VLOOKUP('Trial Balance'!$A1153,'Code Allocation'!$A:$F,6,0)</f>
        <v>#N/A</v>
      </c>
    </row>
    <row r="1154" spans="5:10" ht="12.75" hidden="1" customHeight="1" x14ac:dyDescent="0.25">
      <c r="E1154" s="305">
        <f>SUMIF(Adjustments!A:A,A1154,Adjustments!C:C)</f>
        <v>0</v>
      </c>
      <c r="F1154" s="278">
        <f t="shared" si="17"/>
        <v>0</v>
      </c>
      <c r="G1154" s="263" t="e">
        <v>#N/A</v>
      </c>
      <c r="H1154" s="266" t="e">
        <v>#N/A</v>
      </c>
      <c r="I1154" s="267" t="e">
        <f>VLOOKUP('Trial Balance'!$A1154,'Code Allocation'!$A:$E,5,0)</f>
        <v>#N/A</v>
      </c>
      <c r="J1154" s="268" t="e">
        <f>VLOOKUP('Trial Balance'!$A1154,'Code Allocation'!$A:$F,6,0)</f>
        <v>#N/A</v>
      </c>
    </row>
    <row r="1155" spans="5:10" ht="12.75" hidden="1" customHeight="1" x14ac:dyDescent="0.25">
      <c r="E1155" s="305">
        <f>SUMIF(Adjustments!A:A,A1155,Adjustments!C:C)</f>
        <v>0</v>
      </c>
      <c r="F1155" s="278">
        <f t="shared" si="17"/>
        <v>0</v>
      </c>
      <c r="G1155" s="263" t="e">
        <v>#N/A</v>
      </c>
      <c r="H1155" s="266" t="e">
        <v>#N/A</v>
      </c>
      <c r="I1155" s="267" t="e">
        <f>VLOOKUP('Trial Balance'!$A1155,'Code Allocation'!$A:$E,5,0)</f>
        <v>#N/A</v>
      </c>
      <c r="J1155" s="268" t="e">
        <f>VLOOKUP('Trial Balance'!$A1155,'Code Allocation'!$A:$F,6,0)</f>
        <v>#N/A</v>
      </c>
    </row>
    <row r="1156" spans="5:10" ht="12.75" hidden="1" customHeight="1" x14ac:dyDescent="0.25">
      <c r="E1156" s="305">
        <f>SUMIF(Adjustments!A:A,A1156,Adjustments!C:C)</f>
        <v>0</v>
      </c>
      <c r="F1156" s="278">
        <f t="shared" si="17"/>
        <v>0</v>
      </c>
      <c r="G1156" s="263" t="e">
        <v>#N/A</v>
      </c>
      <c r="H1156" s="266" t="e">
        <v>#N/A</v>
      </c>
      <c r="I1156" s="267" t="e">
        <f>VLOOKUP('Trial Balance'!$A1156,'Code Allocation'!$A:$E,5,0)</f>
        <v>#N/A</v>
      </c>
      <c r="J1156" s="268" t="e">
        <f>VLOOKUP('Trial Balance'!$A1156,'Code Allocation'!$A:$F,6,0)</f>
        <v>#N/A</v>
      </c>
    </row>
    <row r="1157" spans="5:10" ht="12.75" hidden="1" customHeight="1" x14ac:dyDescent="0.25">
      <c r="E1157" s="305">
        <f>SUMIF(Adjustments!A:A,A1157,Adjustments!C:C)</f>
        <v>0</v>
      </c>
      <c r="F1157" s="278">
        <f t="shared" si="17"/>
        <v>0</v>
      </c>
      <c r="G1157" s="263" t="e">
        <v>#N/A</v>
      </c>
      <c r="H1157" s="266" t="e">
        <v>#N/A</v>
      </c>
      <c r="I1157" s="267" t="e">
        <f>VLOOKUP('Trial Balance'!$A1157,'Code Allocation'!$A:$E,5,0)</f>
        <v>#N/A</v>
      </c>
      <c r="J1157" s="268" t="e">
        <f>VLOOKUP('Trial Balance'!$A1157,'Code Allocation'!$A:$F,6,0)</f>
        <v>#N/A</v>
      </c>
    </row>
    <row r="1158" spans="5:10" ht="12.75" hidden="1" customHeight="1" x14ac:dyDescent="0.25">
      <c r="E1158" s="305">
        <f>SUMIF(Adjustments!A:A,A1158,Adjustments!C:C)</f>
        <v>0</v>
      </c>
      <c r="F1158" s="278">
        <f t="shared" si="17"/>
        <v>0</v>
      </c>
      <c r="G1158" s="263" t="e">
        <v>#N/A</v>
      </c>
      <c r="H1158" s="266" t="e">
        <v>#N/A</v>
      </c>
      <c r="I1158" s="267" t="e">
        <f>VLOOKUP('Trial Balance'!$A1158,'Code Allocation'!$A:$E,5,0)</f>
        <v>#N/A</v>
      </c>
      <c r="J1158" s="268" t="e">
        <f>VLOOKUP('Trial Balance'!$A1158,'Code Allocation'!$A:$F,6,0)</f>
        <v>#N/A</v>
      </c>
    </row>
    <row r="1159" spans="5:10" ht="12.75" hidden="1" customHeight="1" x14ac:dyDescent="0.25">
      <c r="E1159" s="305">
        <f>SUMIF(Adjustments!A:A,A1159,Adjustments!C:C)</f>
        <v>0</v>
      </c>
      <c r="F1159" s="278">
        <f t="shared" si="17"/>
        <v>0</v>
      </c>
      <c r="G1159" s="263" t="e">
        <v>#N/A</v>
      </c>
      <c r="H1159" s="266" t="e">
        <v>#N/A</v>
      </c>
      <c r="I1159" s="267" t="e">
        <f>VLOOKUP('Trial Balance'!$A1159,'Code Allocation'!$A:$E,5,0)</f>
        <v>#N/A</v>
      </c>
      <c r="J1159" s="268" t="e">
        <f>VLOOKUP('Trial Balance'!$A1159,'Code Allocation'!$A:$F,6,0)</f>
        <v>#N/A</v>
      </c>
    </row>
    <row r="1160" spans="5:10" ht="12.75" hidden="1" customHeight="1" x14ac:dyDescent="0.25">
      <c r="E1160" s="305">
        <f>SUMIF(Adjustments!A:A,A1160,Adjustments!C:C)</f>
        <v>0</v>
      </c>
      <c r="F1160" s="278">
        <f t="shared" si="17"/>
        <v>0</v>
      </c>
      <c r="G1160" s="263" t="e">
        <v>#N/A</v>
      </c>
      <c r="H1160" s="266" t="e">
        <v>#N/A</v>
      </c>
      <c r="I1160" s="267" t="e">
        <f>VLOOKUP('Trial Balance'!$A1160,'Code Allocation'!$A:$E,5,0)</f>
        <v>#N/A</v>
      </c>
      <c r="J1160" s="268" t="e">
        <f>VLOOKUP('Trial Balance'!$A1160,'Code Allocation'!$A:$F,6,0)</f>
        <v>#N/A</v>
      </c>
    </row>
    <row r="1161" spans="5:10" ht="12.75" hidden="1" customHeight="1" x14ac:dyDescent="0.25">
      <c r="E1161" s="305">
        <f>SUMIF(Adjustments!A:A,A1161,Adjustments!C:C)</f>
        <v>0</v>
      </c>
      <c r="F1161" s="278">
        <f t="shared" si="17"/>
        <v>0</v>
      </c>
      <c r="G1161" s="263" t="e">
        <v>#N/A</v>
      </c>
      <c r="H1161" s="266" t="e">
        <v>#N/A</v>
      </c>
      <c r="I1161" s="267" t="e">
        <f>VLOOKUP('Trial Balance'!$A1161,'Code Allocation'!$A:$E,5,0)</f>
        <v>#N/A</v>
      </c>
      <c r="J1161" s="268" t="e">
        <f>VLOOKUP('Trial Balance'!$A1161,'Code Allocation'!$A:$F,6,0)</f>
        <v>#N/A</v>
      </c>
    </row>
    <row r="1162" spans="5:10" ht="12.75" hidden="1" customHeight="1" x14ac:dyDescent="0.25">
      <c r="E1162" s="305">
        <f>SUMIF(Adjustments!A:A,A1162,Adjustments!C:C)</f>
        <v>0</v>
      </c>
      <c r="F1162" s="278">
        <f t="shared" si="17"/>
        <v>0</v>
      </c>
      <c r="G1162" s="263" t="e">
        <v>#N/A</v>
      </c>
      <c r="H1162" s="266" t="e">
        <v>#N/A</v>
      </c>
      <c r="I1162" s="267" t="e">
        <f>VLOOKUP('Trial Balance'!$A1162,'Code Allocation'!$A:$E,5,0)</f>
        <v>#N/A</v>
      </c>
      <c r="J1162" s="268" t="e">
        <f>VLOOKUP('Trial Balance'!$A1162,'Code Allocation'!$A:$F,6,0)</f>
        <v>#N/A</v>
      </c>
    </row>
    <row r="1163" spans="5:10" ht="12.75" hidden="1" customHeight="1" x14ac:dyDescent="0.25">
      <c r="E1163" s="305">
        <f>SUMIF(Adjustments!A:A,A1163,Adjustments!C:C)</f>
        <v>0</v>
      </c>
      <c r="F1163" s="278">
        <f t="shared" si="17"/>
        <v>0</v>
      </c>
      <c r="G1163" s="263" t="e">
        <v>#N/A</v>
      </c>
      <c r="H1163" s="266" t="e">
        <v>#N/A</v>
      </c>
      <c r="I1163" s="267" t="e">
        <f>VLOOKUP('Trial Balance'!$A1163,'Code Allocation'!$A:$E,5,0)</f>
        <v>#N/A</v>
      </c>
      <c r="J1163" s="268" t="e">
        <f>VLOOKUP('Trial Balance'!$A1163,'Code Allocation'!$A:$F,6,0)</f>
        <v>#N/A</v>
      </c>
    </row>
    <row r="1164" spans="5:10" ht="12.75" hidden="1" customHeight="1" x14ac:dyDescent="0.25">
      <c r="E1164" s="305">
        <f>SUMIF(Adjustments!A:A,A1164,Adjustments!C:C)</f>
        <v>0</v>
      </c>
      <c r="F1164" s="278">
        <f t="shared" si="17"/>
        <v>0</v>
      </c>
      <c r="G1164" s="263" t="e">
        <v>#N/A</v>
      </c>
      <c r="H1164" s="266" t="e">
        <v>#N/A</v>
      </c>
      <c r="I1164" s="267" t="e">
        <f>VLOOKUP('Trial Balance'!$A1164,'Code Allocation'!$A:$E,5,0)</f>
        <v>#N/A</v>
      </c>
      <c r="J1164" s="268" t="e">
        <f>VLOOKUP('Trial Balance'!$A1164,'Code Allocation'!$A:$F,6,0)</f>
        <v>#N/A</v>
      </c>
    </row>
    <row r="1165" spans="5:10" ht="12.75" hidden="1" customHeight="1" x14ac:dyDescent="0.25">
      <c r="E1165" s="305">
        <f>SUMIF(Adjustments!A:A,A1165,Adjustments!C:C)</f>
        <v>0</v>
      </c>
      <c r="F1165" s="278">
        <f t="shared" si="17"/>
        <v>0</v>
      </c>
      <c r="G1165" s="263" t="e">
        <v>#N/A</v>
      </c>
      <c r="H1165" s="266" t="e">
        <v>#N/A</v>
      </c>
      <c r="I1165" s="267" t="e">
        <f>VLOOKUP('Trial Balance'!$A1165,'Code Allocation'!$A:$E,5,0)</f>
        <v>#N/A</v>
      </c>
      <c r="J1165" s="268" t="e">
        <f>VLOOKUP('Trial Balance'!$A1165,'Code Allocation'!$A:$F,6,0)</f>
        <v>#N/A</v>
      </c>
    </row>
    <row r="1166" spans="5:10" ht="12.75" hidden="1" customHeight="1" x14ac:dyDescent="0.25">
      <c r="E1166" s="305">
        <f>SUMIF(Adjustments!A:A,A1166,Adjustments!C:C)</f>
        <v>0</v>
      </c>
      <c r="F1166" s="278">
        <f t="shared" si="17"/>
        <v>0</v>
      </c>
      <c r="G1166" s="263" t="e">
        <v>#N/A</v>
      </c>
      <c r="H1166" s="266" t="e">
        <v>#N/A</v>
      </c>
      <c r="I1166" s="267" t="e">
        <f>VLOOKUP('Trial Balance'!$A1166,'Code Allocation'!$A:$E,5,0)</f>
        <v>#N/A</v>
      </c>
      <c r="J1166" s="268" t="e">
        <f>VLOOKUP('Trial Balance'!$A1166,'Code Allocation'!$A:$F,6,0)</f>
        <v>#N/A</v>
      </c>
    </row>
    <row r="1167" spans="5:10" ht="12.75" hidden="1" customHeight="1" x14ac:dyDescent="0.25">
      <c r="E1167" s="305">
        <f>SUMIF(Adjustments!A:A,A1167,Adjustments!C:C)</f>
        <v>0</v>
      </c>
      <c r="F1167" s="278">
        <f t="shared" si="17"/>
        <v>0</v>
      </c>
      <c r="G1167" s="263" t="e">
        <v>#N/A</v>
      </c>
      <c r="H1167" s="266" t="e">
        <v>#N/A</v>
      </c>
      <c r="I1167" s="267" t="e">
        <f>VLOOKUP('Trial Balance'!$A1167,'Code Allocation'!$A:$E,5,0)</f>
        <v>#N/A</v>
      </c>
      <c r="J1167" s="268" t="e">
        <f>VLOOKUP('Trial Balance'!$A1167,'Code Allocation'!$A:$F,6,0)</f>
        <v>#N/A</v>
      </c>
    </row>
    <row r="1168" spans="5:10" ht="12.75" hidden="1" customHeight="1" x14ac:dyDescent="0.25">
      <c r="E1168" s="305">
        <f>SUMIF(Adjustments!A:A,A1168,Adjustments!C:C)</f>
        <v>0</v>
      </c>
      <c r="F1168" s="278">
        <f t="shared" si="17"/>
        <v>0</v>
      </c>
      <c r="G1168" s="263" t="e">
        <v>#N/A</v>
      </c>
      <c r="H1168" s="266" t="e">
        <v>#N/A</v>
      </c>
      <c r="I1168" s="267" t="e">
        <f>VLOOKUP('Trial Balance'!$A1168,'Code Allocation'!$A:$E,5,0)</f>
        <v>#N/A</v>
      </c>
      <c r="J1168" s="268" t="e">
        <f>VLOOKUP('Trial Balance'!$A1168,'Code Allocation'!$A:$F,6,0)</f>
        <v>#N/A</v>
      </c>
    </row>
    <row r="1169" spans="5:10" ht="12.75" hidden="1" customHeight="1" x14ac:dyDescent="0.25">
      <c r="E1169" s="305">
        <f>SUMIF(Adjustments!A:A,A1169,Adjustments!C:C)</f>
        <v>0</v>
      </c>
      <c r="F1169" s="278">
        <f t="shared" si="17"/>
        <v>0</v>
      </c>
      <c r="G1169" s="263" t="e">
        <v>#N/A</v>
      </c>
      <c r="H1169" s="266" t="e">
        <v>#N/A</v>
      </c>
      <c r="I1169" s="267" t="e">
        <f>VLOOKUP('Trial Balance'!$A1169,'Code Allocation'!$A:$E,5,0)</f>
        <v>#N/A</v>
      </c>
      <c r="J1169" s="268" t="e">
        <f>VLOOKUP('Trial Balance'!$A1169,'Code Allocation'!$A:$F,6,0)</f>
        <v>#N/A</v>
      </c>
    </row>
    <row r="1170" spans="5:10" ht="12.75" hidden="1" customHeight="1" x14ac:dyDescent="0.25">
      <c r="E1170" s="305">
        <f>SUMIF(Adjustments!A:A,A1170,Adjustments!C:C)</f>
        <v>0</v>
      </c>
      <c r="F1170" s="278">
        <f t="shared" si="17"/>
        <v>0</v>
      </c>
      <c r="G1170" s="263" t="e">
        <v>#N/A</v>
      </c>
      <c r="H1170" s="266" t="e">
        <v>#N/A</v>
      </c>
      <c r="I1170" s="267" t="e">
        <f>VLOOKUP('Trial Balance'!$A1170,'Code Allocation'!$A:$E,5,0)</f>
        <v>#N/A</v>
      </c>
      <c r="J1170" s="268" t="e">
        <f>VLOOKUP('Trial Balance'!$A1170,'Code Allocation'!$A:$F,6,0)</f>
        <v>#N/A</v>
      </c>
    </row>
    <row r="1171" spans="5:10" ht="12.75" hidden="1" customHeight="1" x14ac:dyDescent="0.25">
      <c r="E1171" s="305">
        <f>SUMIF(Adjustments!A:A,A1171,Adjustments!C:C)</f>
        <v>0</v>
      </c>
      <c r="F1171" s="278">
        <f t="shared" si="17"/>
        <v>0</v>
      </c>
      <c r="G1171" s="263" t="e">
        <v>#N/A</v>
      </c>
      <c r="H1171" s="266" t="e">
        <v>#N/A</v>
      </c>
      <c r="I1171" s="267" t="e">
        <f>VLOOKUP('Trial Balance'!$A1171,'Code Allocation'!$A:$E,5,0)</f>
        <v>#N/A</v>
      </c>
      <c r="J1171" s="268" t="e">
        <f>VLOOKUP('Trial Balance'!$A1171,'Code Allocation'!$A:$F,6,0)</f>
        <v>#N/A</v>
      </c>
    </row>
    <row r="1172" spans="5:10" ht="12.75" hidden="1" customHeight="1" x14ac:dyDescent="0.25">
      <c r="E1172" s="305">
        <f>SUMIF(Adjustments!A:A,A1172,Adjustments!C:C)</f>
        <v>0</v>
      </c>
      <c r="F1172" s="278">
        <f t="shared" si="17"/>
        <v>0</v>
      </c>
      <c r="G1172" s="263" t="e">
        <v>#N/A</v>
      </c>
      <c r="H1172" s="266" t="e">
        <v>#N/A</v>
      </c>
      <c r="I1172" s="267" t="e">
        <f>VLOOKUP('Trial Balance'!$A1172,'Code Allocation'!$A:$E,5,0)</f>
        <v>#N/A</v>
      </c>
      <c r="J1172" s="268" t="e">
        <f>VLOOKUP('Trial Balance'!$A1172,'Code Allocation'!$A:$F,6,0)</f>
        <v>#N/A</v>
      </c>
    </row>
    <row r="1173" spans="5:10" ht="12.75" hidden="1" customHeight="1" x14ac:dyDescent="0.25">
      <c r="E1173" s="305">
        <f>SUMIF(Adjustments!A:A,A1173,Adjustments!C:C)</f>
        <v>0</v>
      </c>
      <c r="F1173" s="278">
        <f t="shared" si="17"/>
        <v>0</v>
      </c>
      <c r="G1173" s="263" t="e">
        <v>#N/A</v>
      </c>
      <c r="H1173" s="266" t="e">
        <v>#N/A</v>
      </c>
      <c r="I1173" s="267" t="e">
        <f>VLOOKUP('Trial Balance'!$A1173,'Code Allocation'!$A:$E,5,0)</f>
        <v>#N/A</v>
      </c>
      <c r="J1173" s="268" t="e">
        <f>VLOOKUP('Trial Balance'!$A1173,'Code Allocation'!$A:$F,6,0)</f>
        <v>#N/A</v>
      </c>
    </row>
    <row r="1174" spans="5:10" ht="12.75" hidden="1" customHeight="1" x14ac:dyDescent="0.25">
      <c r="E1174" s="305">
        <f>SUMIF(Adjustments!A:A,A1174,Adjustments!C:C)</f>
        <v>0</v>
      </c>
      <c r="F1174" s="278">
        <f t="shared" si="17"/>
        <v>0</v>
      </c>
      <c r="G1174" s="263" t="e">
        <v>#N/A</v>
      </c>
      <c r="H1174" s="266" t="e">
        <v>#N/A</v>
      </c>
      <c r="I1174" s="267" t="e">
        <f>VLOOKUP('Trial Balance'!$A1174,'Code Allocation'!$A:$E,5,0)</f>
        <v>#N/A</v>
      </c>
      <c r="J1174" s="268" t="e">
        <f>VLOOKUP('Trial Balance'!$A1174,'Code Allocation'!$A:$F,6,0)</f>
        <v>#N/A</v>
      </c>
    </row>
    <row r="1175" spans="5:10" ht="12.75" hidden="1" customHeight="1" x14ac:dyDescent="0.25">
      <c r="E1175" s="305">
        <f>SUMIF(Adjustments!A:A,A1175,Adjustments!C:C)</f>
        <v>0</v>
      </c>
      <c r="F1175" s="278">
        <f t="shared" si="17"/>
        <v>0</v>
      </c>
      <c r="G1175" s="263" t="e">
        <v>#N/A</v>
      </c>
      <c r="H1175" s="266" t="e">
        <v>#N/A</v>
      </c>
      <c r="I1175" s="267" t="e">
        <f>VLOOKUP('Trial Balance'!$A1175,'Code Allocation'!$A:$E,5,0)</f>
        <v>#N/A</v>
      </c>
      <c r="J1175" s="268" t="e">
        <f>VLOOKUP('Trial Balance'!$A1175,'Code Allocation'!$A:$F,6,0)</f>
        <v>#N/A</v>
      </c>
    </row>
    <row r="1176" spans="5:10" ht="12.75" hidden="1" customHeight="1" x14ac:dyDescent="0.25">
      <c r="E1176" s="305">
        <f>SUMIF(Adjustments!A:A,A1176,Adjustments!C:C)</f>
        <v>0</v>
      </c>
      <c r="F1176" s="278">
        <f t="shared" si="17"/>
        <v>0</v>
      </c>
      <c r="G1176" s="263" t="e">
        <v>#N/A</v>
      </c>
      <c r="H1176" s="266" t="e">
        <v>#N/A</v>
      </c>
      <c r="I1176" s="267" t="e">
        <f>VLOOKUP('Trial Balance'!$A1176,'Code Allocation'!$A:$E,5,0)</f>
        <v>#N/A</v>
      </c>
      <c r="J1176" s="268" t="e">
        <f>VLOOKUP('Trial Balance'!$A1176,'Code Allocation'!$A:$F,6,0)</f>
        <v>#N/A</v>
      </c>
    </row>
    <row r="1177" spans="5:10" ht="12.75" hidden="1" customHeight="1" x14ac:dyDescent="0.25">
      <c r="E1177" s="305">
        <f>SUMIF(Adjustments!A:A,A1177,Adjustments!C:C)</f>
        <v>0</v>
      </c>
      <c r="F1177" s="278">
        <f t="shared" si="17"/>
        <v>0</v>
      </c>
      <c r="G1177" s="263" t="e">
        <v>#N/A</v>
      </c>
      <c r="H1177" s="266" t="e">
        <v>#N/A</v>
      </c>
      <c r="I1177" s="267" t="e">
        <f>VLOOKUP('Trial Balance'!$A1177,'Code Allocation'!$A:$E,5,0)</f>
        <v>#N/A</v>
      </c>
      <c r="J1177" s="268" t="e">
        <f>VLOOKUP('Trial Balance'!$A1177,'Code Allocation'!$A:$F,6,0)</f>
        <v>#N/A</v>
      </c>
    </row>
    <row r="1178" spans="5:10" ht="12.75" hidden="1" customHeight="1" x14ac:dyDescent="0.25">
      <c r="E1178" s="305">
        <f>SUMIF(Adjustments!A:A,A1178,Adjustments!C:C)</f>
        <v>0</v>
      </c>
      <c r="F1178" s="278">
        <f t="shared" si="17"/>
        <v>0</v>
      </c>
      <c r="G1178" s="263" t="e">
        <v>#N/A</v>
      </c>
      <c r="H1178" s="266" t="e">
        <v>#N/A</v>
      </c>
      <c r="I1178" s="267" t="e">
        <f>VLOOKUP('Trial Balance'!$A1178,'Code Allocation'!$A:$E,5,0)</f>
        <v>#N/A</v>
      </c>
      <c r="J1178" s="268" t="e">
        <f>VLOOKUP('Trial Balance'!$A1178,'Code Allocation'!$A:$F,6,0)</f>
        <v>#N/A</v>
      </c>
    </row>
    <row r="1179" spans="5:10" ht="12.75" hidden="1" customHeight="1" x14ac:dyDescent="0.25">
      <c r="E1179" s="305">
        <f>SUMIF(Adjustments!A:A,A1179,Adjustments!C:C)</f>
        <v>0</v>
      </c>
      <c r="F1179" s="278">
        <f t="shared" si="17"/>
        <v>0</v>
      </c>
      <c r="G1179" s="263" t="e">
        <v>#N/A</v>
      </c>
      <c r="H1179" s="266" t="e">
        <v>#N/A</v>
      </c>
      <c r="I1179" s="267" t="e">
        <f>VLOOKUP('Trial Balance'!$A1179,'Code Allocation'!$A:$E,5,0)</f>
        <v>#N/A</v>
      </c>
      <c r="J1179" s="268" t="e">
        <f>VLOOKUP('Trial Balance'!$A1179,'Code Allocation'!$A:$F,6,0)</f>
        <v>#N/A</v>
      </c>
    </row>
    <row r="1180" spans="5:10" ht="12.75" hidden="1" customHeight="1" x14ac:dyDescent="0.25">
      <c r="E1180" s="305">
        <f>SUMIF(Adjustments!A:A,A1180,Adjustments!C:C)</f>
        <v>0</v>
      </c>
      <c r="F1180" s="278">
        <f t="shared" si="17"/>
        <v>0</v>
      </c>
      <c r="G1180" s="263" t="e">
        <v>#N/A</v>
      </c>
      <c r="H1180" s="266" t="e">
        <v>#N/A</v>
      </c>
      <c r="I1180" s="267" t="e">
        <f>VLOOKUP('Trial Balance'!$A1180,'Code Allocation'!$A:$E,5,0)</f>
        <v>#N/A</v>
      </c>
      <c r="J1180" s="268" t="e">
        <f>VLOOKUP('Trial Balance'!$A1180,'Code Allocation'!$A:$F,6,0)</f>
        <v>#N/A</v>
      </c>
    </row>
    <row r="1181" spans="5:10" ht="12.75" hidden="1" customHeight="1" x14ac:dyDescent="0.25">
      <c r="E1181" s="305">
        <f>SUMIF(Adjustments!A:A,A1181,Adjustments!C:C)</f>
        <v>0</v>
      </c>
      <c r="F1181" s="278">
        <f t="shared" si="17"/>
        <v>0</v>
      </c>
      <c r="G1181" s="263" t="e">
        <v>#N/A</v>
      </c>
      <c r="H1181" s="266" t="e">
        <v>#N/A</v>
      </c>
      <c r="I1181" s="267" t="e">
        <f>VLOOKUP('Trial Balance'!$A1181,'Code Allocation'!$A:$E,5,0)</f>
        <v>#N/A</v>
      </c>
      <c r="J1181" s="268" t="e">
        <f>VLOOKUP('Trial Balance'!$A1181,'Code Allocation'!$A:$F,6,0)</f>
        <v>#N/A</v>
      </c>
    </row>
    <row r="1182" spans="5:10" ht="12.75" hidden="1" customHeight="1" x14ac:dyDescent="0.25">
      <c r="E1182" s="305">
        <f>SUMIF(Adjustments!A:A,A1182,Adjustments!C:C)</f>
        <v>0</v>
      </c>
      <c r="F1182" s="278">
        <f t="shared" si="17"/>
        <v>0</v>
      </c>
      <c r="G1182" s="263" t="e">
        <v>#N/A</v>
      </c>
      <c r="H1182" s="266" t="e">
        <v>#N/A</v>
      </c>
      <c r="I1182" s="267" t="e">
        <f>VLOOKUP('Trial Balance'!$A1182,'Code Allocation'!$A:$E,5,0)</f>
        <v>#N/A</v>
      </c>
      <c r="J1182" s="268" t="e">
        <f>VLOOKUP('Trial Balance'!$A1182,'Code Allocation'!$A:$F,6,0)</f>
        <v>#N/A</v>
      </c>
    </row>
    <row r="1183" spans="5:10" ht="12.75" hidden="1" customHeight="1" x14ac:dyDescent="0.25">
      <c r="E1183" s="305">
        <f>SUMIF(Adjustments!A:A,A1183,Adjustments!C:C)</f>
        <v>0</v>
      </c>
      <c r="F1183" s="278">
        <f t="shared" si="17"/>
        <v>0</v>
      </c>
      <c r="G1183" s="263" t="e">
        <v>#N/A</v>
      </c>
      <c r="H1183" s="266" t="e">
        <v>#N/A</v>
      </c>
      <c r="I1183" s="267" t="e">
        <f>VLOOKUP('Trial Balance'!$A1183,'Code Allocation'!$A:$E,5,0)</f>
        <v>#N/A</v>
      </c>
      <c r="J1183" s="268" t="e">
        <f>VLOOKUP('Trial Balance'!$A1183,'Code Allocation'!$A:$F,6,0)</f>
        <v>#N/A</v>
      </c>
    </row>
    <row r="1184" spans="5:10" ht="12.75" hidden="1" customHeight="1" x14ac:dyDescent="0.25">
      <c r="E1184" s="305">
        <f>SUMIF(Adjustments!A:A,A1184,Adjustments!C:C)</f>
        <v>0</v>
      </c>
      <c r="F1184" s="278">
        <f t="shared" si="17"/>
        <v>0</v>
      </c>
      <c r="G1184" s="263" t="e">
        <v>#N/A</v>
      </c>
      <c r="H1184" s="266" t="e">
        <v>#N/A</v>
      </c>
      <c r="I1184" s="267" t="e">
        <f>VLOOKUP('Trial Balance'!$A1184,'Code Allocation'!$A:$E,5,0)</f>
        <v>#N/A</v>
      </c>
      <c r="J1184" s="268" t="e">
        <f>VLOOKUP('Trial Balance'!$A1184,'Code Allocation'!$A:$F,6,0)</f>
        <v>#N/A</v>
      </c>
    </row>
    <row r="1185" spans="5:10" ht="12.75" hidden="1" customHeight="1" x14ac:dyDescent="0.25">
      <c r="E1185" s="305">
        <f>SUMIF(Adjustments!A:A,A1185,Adjustments!C:C)</f>
        <v>0</v>
      </c>
      <c r="F1185" s="278">
        <f t="shared" si="17"/>
        <v>0</v>
      </c>
      <c r="G1185" s="263" t="e">
        <v>#N/A</v>
      </c>
      <c r="H1185" s="266" t="e">
        <v>#N/A</v>
      </c>
      <c r="I1185" s="267" t="e">
        <f>VLOOKUP('Trial Balance'!$A1185,'Code Allocation'!$A:$E,5,0)</f>
        <v>#N/A</v>
      </c>
      <c r="J1185" s="268" t="e">
        <f>VLOOKUP('Trial Balance'!$A1185,'Code Allocation'!$A:$F,6,0)</f>
        <v>#N/A</v>
      </c>
    </row>
    <row r="1186" spans="5:10" ht="12.75" hidden="1" customHeight="1" x14ac:dyDescent="0.25">
      <c r="E1186" s="305">
        <f>SUMIF(Adjustments!A:A,A1186,Adjustments!C:C)</f>
        <v>0</v>
      </c>
      <c r="F1186" s="278">
        <f t="shared" si="17"/>
        <v>0</v>
      </c>
      <c r="G1186" s="263" t="e">
        <v>#N/A</v>
      </c>
      <c r="H1186" s="266" t="e">
        <v>#N/A</v>
      </c>
      <c r="I1186" s="267" t="e">
        <f>VLOOKUP('Trial Balance'!$A1186,'Code Allocation'!$A:$E,5,0)</f>
        <v>#N/A</v>
      </c>
      <c r="J1186" s="268" t="e">
        <f>VLOOKUP('Trial Balance'!$A1186,'Code Allocation'!$A:$F,6,0)</f>
        <v>#N/A</v>
      </c>
    </row>
    <row r="1187" spans="5:10" ht="12.75" hidden="1" customHeight="1" x14ac:dyDescent="0.25">
      <c r="E1187" s="305">
        <f>SUMIF(Adjustments!A:A,A1187,Adjustments!C:C)</f>
        <v>0</v>
      </c>
      <c r="F1187" s="278">
        <f t="shared" si="17"/>
        <v>0</v>
      </c>
      <c r="G1187" s="263" t="e">
        <v>#N/A</v>
      </c>
      <c r="H1187" s="266" t="e">
        <v>#N/A</v>
      </c>
      <c r="I1187" s="267" t="e">
        <f>VLOOKUP('Trial Balance'!$A1187,'Code Allocation'!$A:$E,5,0)</f>
        <v>#N/A</v>
      </c>
      <c r="J1187" s="268" t="e">
        <f>VLOOKUP('Trial Balance'!$A1187,'Code Allocation'!$A:$F,6,0)</f>
        <v>#N/A</v>
      </c>
    </row>
    <row r="1188" spans="5:10" ht="12.75" hidden="1" customHeight="1" x14ac:dyDescent="0.25">
      <c r="E1188" s="305">
        <f>SUMIF(Adjustments!A:A,A1188,Adjustments!C:C)</f>
        <v>0</v>
      </c>
      <c r="F1188" s="278">
        <f t="shared" si="17"/>
        <v>0</v>
      </c>
      <c r="G1188" s="263" t="e">
        <v>#N/A</v>
      </c>
      <c r="H1188" s="266" t="e">
        <v>#N/A</v>
      </c>
      <c r="I1188" s="267" t="e">
        <f>VLOOKUP('Trial Balance'!$A1188,'Code Allocation'!$A:$E,5,0)</f>
        <v>#N/A</v>
      </c>
      <c r="J1188" s="268" t="e">
        <f>VLOOKUP('Trial Balance'!$A1188,'Code Allocation'!$A:$F,6,0)</f>
        <v>#N/A</v>
      </c>
    </row>
    <row r="1189" spans="5:10" ht="12.75" hidden="1" customHeight="1" x14ac:dyDescent="0.25">
      <c r="E1189" s="305">
        <f>SUMIF(Adjustments!A:A,A1189,Adjustments!C:C)</f>
        <v>0</v>
      </c>
      <c r="F1189" s="278">
        <f t="shared" si="17"/>
        <v>0</v>
      </c>
      <c r="G1189" s="263" t="e">
        <v>#N/A</v>
      </c>
      <c r="H1189" s="266" t="e">
        <v>#N/A</v>
      </c>
      <c r="I1189" s="267" t="e">
        <f>VLOOKUP('Trial Balance'!$A1189,'Code Allocation'!$A:$E,5,0)</f>
        <v>#N/A</v>
      </c>
      <c r="J1189" s="268" t="e">
        <f>VLOOKUP('Trial Balance'!$A1189,'Code Allocation'!$A:$F,6,0)</f>
        <v>#N/A</v>
      </c>
    </row>
    <row r="1190" spans="5:10" ht="12.75" hidden="1" customHeight="1" x14ac:dyDescent="0.25">
      <c r="E1190" s="305">
        <f>SUMIF(Adjustments!A:A,A1190,Adjustments!C:C)</f>
        <v>0</v>
      </c>
      <c r="F1190" s="278">
        <f t="shared" si="17"/>
        <v>0</v>
      </c>
      <c r="G1190" s="263" t="e">
        <v>#N/A</v>
      </c>
      <c r="H1190" s="266" t="e">
        <v>#N/A</v>
      </c>
      <c r="I1190" s="267" t="e">
        <f>VLOOKUP('Trial Balance'!$A1190,'Code Allocation'!$A:$E,5,0)</f>
        <v>#N/A</v>
      </c>
      <c r="J1190" s="268" t="e">
        <f>VLOOKUP('Trial Balance'!$A1190,'Code Allocation'!$A:$F,6,0)</f>
        <v>#N/A</v>
      </c>
    </row>
    <row r="1191" spans="5:10" ht="12.75" hidden="1" customHeight="1" x14ac:dyDescent="0.25">
      <c r="E1191" s="305">
        <f>SUMIF(Adjustments!A:A,A1191,Adjustments!C:C)</f>
        <v>0</v>
      </c>
      <c r="F1191" s="278">
        <f t="shared" si="17"/>
        <v>0</v>
      </c>
      <c r="G1191" s="263" t="e">
        <v>#N/A</v>
      </c>
      <c r="H1191" s="266" t="e">
        <v>#N/A</v>
      </c>
      <c r="I1191" s="267" t="e">
        <f>VLOOKUP('Trial Balance'!$A1191,'Code Allocation'!$A:$E,5,0)</f>
        <v>#N/A</v>
      </c>
      <c r="J1191" s="268" t="e">
        <f>VLOOKUP('Trial Balance'!$A1191,'Code Allocation'!$A:$F,6,0)</f>
        <v>#N/A</v>
      </c>
    </row>
    <row r="1192" spans="5:10" ht="12.75" hidden="1" customHeight="1" x14ac:dyDescent="0.25">
      <c r="E1192" s="305">
        <f>SUMIF(Adjustments!A:A,A1192,Adjustments!C:C)</f>
        <v>0</v>
      </c>
      <c r="F1192" s="278">
        <f t="shared" si="17"/>
        <v>0</v>
      </c>
      <c r="G1192" s="263" t="e">
        <v>#N/A</v>
      </c>
      <c r="H1192" s="266" t="e">
        <v>#N/A</v>
      </c>
      <c r="I1192" s="267" t="e">
        <f>VLOOKUP('Trial Balance'!$A1192,'Code Allocation'!$A:$E,5,0)</f>
        <v>#N/A</v>
      </c>
      <c r="J1192" s="268" t="e">
        <f>VLOOKUP('Trial Balance'!$A1192,'Code Allocation'!$A:$F,6,0)</f>
        <v>#N/A</v>
      </c>
    </row>
    <row r="1193" spans="5:10" ht="12.75" hidden="1" customHeight="1" x14ac:dyDescent="0.25">
      <c r="E1193" s="305">
        <f>SUMIF(Adjustments!A:A,A1193,Adjustments!C:C)</f>
        <v>0</v>
      </c>
      <c r="F1193" s="278">
        <f t="shared" si="17"/>
        <v>0</v>
      </c>
      <c r="G1193" s="263" t="e">
        <v>#N/A</v>
      </c>
      <c r="H1193" s="266" t="e">
        <v>#N/A</v>
      </c>
      <c r="I1193" s="267" t="e">
        <f>VLOOKUP('Trial Balance'!$A1193,'Code Allocation'!$A:$E,5,0)</f>
        <v>#N/A</v>
      </c>
      <c r="J1193" s="268" t="e">
        <f>VLOOKUP('Trial Balance'!$A1193,'Code Allocation'!$A:$F,6,0)</f>
        <v>#N/A</v>
      </c>
    </row>
    <row r="1194" spans="5:10" ht="12.75" hidden="1" customHeight="1" x14ac:dyDescent="0.25">
      <c r="E1194" s="305">
        <f>SUMIF(Adjustments!A:A,A1194,Adjustments!C:C)</f>
        <v>0</v>
      </c>
      <c r="F1194" s="278">
        <f t="shared" si="17"/>
        <v>0</v>
      </c>
      <c r="G1194" s="263" t="e">
        <v>#N/A</v>
      </c>
      <c r="H1194" s="266" t="e">
        <v>#N/A</v>
      </c>
      <c r="I1194" s="267" t="e">
        <f>VLOOKUP('Trial Balance'!$A1194,'Code Allocation'!$A:$E,5,0)</f>
        <v>#N/A</v>
      </c>
      <c r="J1194" s="268" t="e">
        <f>VLOOKUP('Trial Balance'!$A1194,'Code Allocation'!$A:$F,6,0)</f>
        <v>#N/A</v>
      </c>
    </row>
    <row r="1195" spans="5:10" ht="12.75" hidden="1" customHeight="1" x14ac:dyDescent="0.25">
      <c r="E1195" s="305">
        <f>SUMIF(Adjustments!A:A,A1195,Adjustments!C:C)</f>
        <v>0</v>
      </c>
      <c r="F1195" s="278">
        <f t="shared" si="17"/>
        <v>0</v>
      </c>
      <c r="G1195" s="263" t="e">
        <v>#N/A</v>
      </c>
      <c r="H1195" s="266" t="e">
        <v>#N/A</v>
      </c>
      <c r="I1195" s="267" t="e">
        <f>VLOOKUP('Trial Balance'!$A1195,'Code Allocation'!$A:$E,5,0)</f>
        <v>#N/A</v>
      </c>
      <c r="J1195" s="268" t="e">
        <f>VLOOKUP('Trial Balance'!$A1195,'Code Allocation'!$A:$F,6,0)</f>
        <v>#N/A</v>
      </c>
    </row>
    <row r="1196" spans="5:10" ht="12.75" hidden="1" customHeight="1" x14ac:dyDescent="0.25">
      <c r="E1196" s="305">
        <f>SUMIF(Adjustments!A:A,A1196,Adjustments!C:C)</f>
        <v>0</v>
      </c>
      <c r="F1196" s="278">
        <f t="shared" ref="F1196:F1259" si="18">C1196-D1196+E1196</f>
        <v>0</v>
      </c>
      <c r="G1196" s="263" t="e">
        <v>#N/A</v>
      </c>
      <c r="H1196" s="266" t="e">
        <v>#N/A</v>
      </c>
      <c r="I1196" s="267" t="e">
        <f>VLOOKUP('Trial Balance'!$A1196,'Code Allocation'!$A:$E,5,0)</f>
        <v>#N/A</v>
      </c>
      <c r="J1196" s="268" t="e">
        <f>VLOOKUP('Trial Balance'!$A1196,'Code Allocation'!$A:$F,6,0)</f>
        <v>#N/A</v>
      </c>
    </row>
    <row r="1197" spans="5:10" ht="12.75" hidden="1" customHeight="1" x14ac:dyDescent="0.25">
      <c r="E1197" s="305">
        <f>SUMIF(Adjustments!A:A,A1197,Adjustments!C:C)</f>
        <v>0</v>
      </c>
      <c r="F1197" s="278">
        <f t="shared" si="18"/>
        <v>0</v>
      </c>
      <c r="G1197" s="263" t="e">
        <v>#N/A</v>
      </c>
      <c r="H1197" s="266" t="e">
        <v>#N/A</v>
      </c>
      <c r="I1197" s="267" t="e">
        <f>VLOOKUP('Trial Balance'!$A1197,'Code Allocation'!$A:$E,5,0)</f>
        <v>#N/A</v>
      </c>
      <c r="J1197" s="268" t="e">
        <f>VLOOKUP('Trial Balance'!$A1197,'Code Allocation'!$A:$F,6,0)</f>
        <v>#N/A</v>
      </c>
    </row>
    <row r="1198" spans="5:10" ht="12.75" hidden="1" customHeight="1" x14ac:dyDescent="0.25">
      <c r="E1198" s="305">
        <f>SUMIF(Adjustments!A:A,A1198,Adjustments!C:C)</f>
        <v>0</v>
      </c>
      <c r="F1198" s="278">
        <f t="shared" si="18"/>
        <v>0</v>
      </c>
      <c r="G1198" s="263" t="e">
        <v>#N/A</v>
      </c>
      <c r="H1198" s="266" t="e">
        <v>#N/A</v>
      </c>
      <c r="I1198" s="267" t="e">
        <f>VLOOKUP('Trial Balance'!$A1198,'Code Allocation'!$A:$E,5,0)</f>
        <v>#N/A</v>
      </c>
      <c r="J1198" s="268" t="e">
        <f>VLOOKUP('Trial Balance'!$A1198,'Code Allocation'!$A:$F,6,0)</f>
        <v>#N/A</v>
      </c>
    </row>
    <row r="1199" spans="5:10" ht="12.75" hidden="1" customHeight="1" x14ac:dyDescent="0.25">
      <c r="E1199" s="305">
        <f>SUMIF(Adjustments!A:A,A1199,Adjustments!C:C)</f>
        <v>0</v>
      </c>
      <c r="F1199" s="278">
        <f t="shared" si="18"/>
        <v>0</v>
      </c>
      <c r="G1199" s="263" t="e">
        <v>#N/A</v>
      </c>
      <c r="H1199" s="266" t="e">
        <v>#N/A</v>
      </c>
      <c r="I1199" s="267" t="e">
        <f>VLOOKUP('Trial Balance'!$A1199,'Code Allocation'!$A:$E,5,0)</f>
        <v>#N/A</v>
      </c>
      <c r="J1199" s="268" t="e">
        <f>VLOOKUP('Trial Balance'!$A1199,'Code Allocation'!$A:$F,6,0)</f>
        <v>#N/A</v>
      </c>
    </row>
    <row r="1200" spans="5:10" ht="12.75" hidden="1" customHeight="1" x14ac:dyDescent="0.25">
      <c r="E1200" s="305">
        <f>SUMIF(Adjustments!A:A,A1200,Adjustments!C:C)</f>
        <v>0</v>
      </c>
      <c r="F1200" s="278">
        <f t="shared" si="18"/>
        <v>0</v>
      </c>
      <c r="G1200" s="263" t="e">
        <v>#N/A</v>
      </c>
      <c r="H1200" s="266" t="e">
        <v>#N/A</v>
      </c>
      <c r="I1200" s="267" t="e">
        <f>VLOOKUP('Trial Balance'!$A1200,'Code Allocation'!$A:$E,5,0)</f>
        <v>#N/A</v>
      </c>
      <c r="J1200" s="268" t="e">
        <f>VLOOKUP('Trial Balance'!$A1200,'Code Allocation'!$A:$F,6,0)</f>
        <v>#N/A</v>
      </c>
    </row>
    <row r="1201" spans="5:10" ht="12.75" hidden="1" customHeight="1" x14ac:dyDescent="0.25">
      <c r="E1201" s="305">
        <f>SUMIF(Adjustments!A:A,A1201,Adjustments!C:C)</f>
        <v>0</v>
      </c>
      <c r="F1201" s="278">
        <f t="shared" si="18"/>
        <v>0</v>
      </c>
      <c r="G1201" s="263" t="e">
        <v>#N/A</v>
      </c>
      <c r="H1201" s="266" t="e">
        <v>#N/A</v>
      </c>
      <c r="I1201" s="267" t="e">
        <f>VLOOKUP('Trial Balance'!$A1201,'Code Allocation'!$A:$E,5,0)</f>
        <v>#N/A</v>
      </c>
      <c r="J1201" s="268" t="e">
        <f>VLOOKUP('Trial Balance'!$A1201,'Code Allocation'!$A:$F,6,0)</f>
        <v>#N/A</v>
      </c>
    </row>
    <row r="1202" spans="5:10" ht="12.75" hidden="1" customHeight="1" x14ac:dyDescent="0.25">
      <c r="E1202" s="305">
        <f>SUMIF(Adjustments!A:A,A1202,Adjustments!C:C)</f>
        <v>0</v>
      </c>
      <c r="F1202" s="278">
        <f t="shared" si="18"/>
        <v>0</v>
      </c>
      <c r="G1202" s="263" t="e">
        <v>#N/A</v>
      </c>
      <c r="H1202" s="266" t="e">
        <v>#N/A</v>
      </c>
      <c r="I1202" s="267" t="e">
        <f>VLOOKUP('Trial Balance'!$A1202,'Code Allocation'!$A:$E,5,0)</f>
        <v>#N/A</v>
      </c>
      <c r="J1202" s="268" t="e">
        <f>VLOOKUP('Trial Balance'!$A1202,'Code Allocation'!$A:$F,6,0)</f>
        <v>#N/A</v>
      </c>
    </row>
    <row r="1203" spans="5:10" ht="12.75" hidden="1" customHeight="1" x14ac:dyDescent="0.25">
      <c r="E1203" s="305">
        <f>SUMIF(Adjustments!A:A,A1203,Adjustments!C:C)</f>
        <v>0</v>
      </c>
      <c r="F1203" s="278">
        <f t="shared" si="18"/>
        <v>0</v>
      </c>
      <c r="G1203" s="263" t="e">
        <v>#N/A</v>
      </c>
      <c r="H1203" s="266" t="e">
        <v>#N/A</v>
      </c>
      <c r="I1203" s="267" t="e">
        <f>VLOOKUP('Trial Balance'!$A1203,'Code Allocation'!$A:$E,5,0)</f>
        <v>#N/A</v>
      </c>
      <c r="J1203" s="268" t="e">
        <f>VLOOKUP('Trial Balance'!$A1203,'Code Allocation'!$A:$F,6,0)</f>
        <v>#N/A</v>
      </c>
    </row>
    <row r="1204" spans="5:10" ht="12.75" hidden="1" customHeight="1" x14ac:dyDescent="0.25">
      <c r="E1204" s="305">
        <f>SUMIF(Adjustments!A:A,A1204,Adjustments!C:C)</f>
        <v>0</v>
      </c>
      <c r="F1204" s="278">
        <f t="shared" si="18"/>
        <v>0</v>
      </c>
      <c r="G1204" s="263" t="e">
        <v>#N/A</v>
      </c>
      <c r="H1204" s="266" t="e">
        <v>#N/A</v>
      </c>
      <c r="I1204" s="267" t="e">
        <f>VLOOKUP('Trial Balance'!$A1204,'Code Allocation'!$A:$E,5,0)</f>
        <v>#N/A</v>
      </c>
      <c r="J1204" s="268" t="e">
        <f>VLOOKUP('Trial Balance'!$A1204,'Code Allocation'!$A:$F,6,0)</f>
        <v>#N/A</v>
      </c>
    </row>
    <row r="1205" spans="5:10" ht="12.75" hidden="1" customHeight="1" x14ac:dyDescent="0.25">
      <c r="E1205" s="305">
        <f>SUMIF(Adjustments!A:A,A1205,Adjustments!C:C)</f>
        <v>0</v>
      </c>
      <c r="F1205" s="278">
        <f t="shared" si="18"/>
        <v>0</v>
      </c>
      <c r="G1205" s="263" t="e">
        <v>#N/A</v>
      </c>
      <c r="H1205" s="266" t="e">
        <v>#N/A</v>
      </c>
      <c r="I1205" s="267" t="e">
        <f>VLOOKUP('Trial Balance'!$A1205,'Code Allocation'!$A:$E,5,0)</f>
        <v>#N/A</v>
      </c>
      <c r="J1205" s="268" t="e">
        <f>VLOOKUP('Trial Balance'!$A1205,'Code Allocation'!$A:$F,6,0)</f>
        <v>#N/A</v>
      </c>
    </row>
    <row r="1206" spans="5:10" ht="12.75" hidden="1" customHeight="1" x14ac:dyDescent="0.25">
      <c r="E1206" s="305">
        <f>SUMIF(Adjustments!A:A,A1206,Adjustments!C:C)</f>
        <v>0</v>
      </c>
      <c r="F1206" s="278">
        <f t="shared" si="18"/>
        <v>0</v>
      </c>
      <c r="G1206" s="263" t="e">
        <v>#N/A</v>
      </c>
      <c r="H1206" s="266" t="e">
        <v>#N/A</v>
      </c>
      <c r="I1206" s="267" t="e">
        <f>VLOOKUP('Trial Balance'!$A1206,'Code Allocation'!$A:$E,5,0)</f>
        <v>#N/A</v>
      </c>
      <c r="J1206" s="268" t="e">
        <f>VLOOKUP('Trial Balance'!$A1206,'Code Allocation'!$A:$F,6,0)</f>
        <v>#N/A</v>
      </c>
    </row>
    <row r="1207" spans="5:10" ht="12.75" hidden="1" customHeight="1" x14ac:dyDescent="0.25">
      <c r="E1207" s="305">
        <f>SUMIF(Adjustments!A:A,A1207,Adjustments!C:C)</f>
        <v>0</v>
      </c>
      <c r="F1207" s="278">
        <f t="shared" si="18"/>
        <v>0</v>
      </c>
      <c r="G1207" s="263" t="e">
        <v>#N/A</v>
      </c>
      <c r="H1207" s="266" t="e">
        <v>#N/A</v>
      </c>
      <c r="I1207" s="267" t="e">
        <f>VLOOKUP('Trial Balance'!$A1207,'Code Allocation'!$A:$E,5,0)</f>
        <v>#N/A</v>
      </c>
      <c r="J1207" s="268" t="e">
        <f>VLOOKUP('Trial Balance'!$A1207,'Code Allocation'!$A:$F,6,0)</f>
        <v>#N/A</v>
      </c>
    </row>
    <row r="1208" spans="5:10" ht="12.75" hidden="1" customHeight="1" x14ac:dyDescent="0.25">
      <c r="E1208" s="305">
        <f>SUMIF(Adjustments!A:A,A1208,Adjustments!C:C)</f>
        <v>0</v>
      </c>
      <c r="F1208" s="278">
        <f t="shared" si="18"/>
        <v>0</v>
      </c>
      <c r="G1208" s="263" t="e">
        <v>#N/A</v>
      </c>
      <c r="H1208" s="266" t="e">
        <v>#N/A</v>
      </c>
      <c r="I1208" s="267" t="e">
        <f>VLOOKUP('Trial Balance'!$A1208,'Code Allocation'!$A:$E,5,0)</f>
        <v>#N/A</v>
      </c>
      <c r="J1208" s="268" t="e">
        <f>VLOOKUP('Trial Balance'!$A1208,'Code Allocation'!$A:$F,6,0)</f>
        <v>#N/A</v>
      </c>
    </row>
    <row r="1209" spans="5:10" ht="12.75" hidden="1" customHeight="1" x14ac:dyDescent="0.25">
      <c r="E1209" s="305">
        <f>SUMIF(Adjustments!A:A,A1209,Adjustments!C:C)</f>
        <v>0</v>
      </c>
      <c r="F1209" s="278">
        <f t="shared" si="18"/>
        <v>0</v>
      </c>
      <c r="G1209" s="263" t="e">
        <v>#N/A</v>
      </c>
      <c r="H1209" s="266" t="e">
        <v>#N/A</v>
      </c>
      <c r="I1209" s="267" t="e">
        <f>VLOOKUP('Trial Balance'!$A1209,'Code Allocation'!$A:$E,5,0)</f>
        <v>#N/A</v>
      </c>
      <c r="J1209" s="268" t="e">
        <f>VLOOKUP('Trial Balance'!$A1209,'Code Allocation'!$A:$F,6,0)</f>
        <v>#N/A</v>
      </c>
    </row>
    <row r="1210" spans="5:10" ht="12.75" hidden="1" customHeight="1" x14ac:dyDescent="0.25">
      <c r="E1210" s="305">
        <f>SUMIF(Adjustments!A:A,A1210,Adjustments!C:C)</f>
        <v>0</v>
      </c>
      <c r="F1210" s="278">
        <f t="shared" si="18"/>
        <v>0</v>
      </c>
      <c r="G1210" s="263" t="e">
        <v>#N/A</v>
      </c>
      <c r="H1210" s="266" t="e">
        <v>#N/A</v>
      </c>
      <c r="I1210" s="267" t="e">
        <f>VLOOKUP('Trial Balance'!$A1210,'Code Allocation'!$A:$E,5,0)</f>
        <v>#N/A</v>
      </c>
      <c r="J1210" s="268" t="e">
        <f>VLOOKUP('Trial Balance'!$A1210,'Code Allocation'!$A:$F,6,0)</f>
        <v>#N/A</v>
      </c>
    </row>
    <row r="1211" spans="5:10" ht="12.75" hidden="1" customHeight="1" x14ac:dyDescent="0.25">
      <c r="E1211" s="305">
        <f>SUMIF(Adjustments!A:A,A1211,Adjustments!C:C)</f>
        <v>0</v>
      </c>
      <c r="F1211" s="278">
        <f t="shared" si="18"/>
        <v>0</v>
      </c>
      <c r="G1211" s="263" t="e">
        <v>#N/A</v>
      </c>
      <c r="H1211" s="266" t="e">
        <v>#N/A</v>
      </c>
      <c r="I1211" s="267" t="e">
        <f>VLOOKUP('Trial Balance'!$A1211,'Code Allocation'!$A:$E,5,0)</f>
        <v>#N/A</v>
      </c>
      <c r="J1211" s="268" t="e">
        <f>VLOOKUP('Trial Balance'!$A1211,'Code Allocation'!$A:$F,6,0)</f>
        <v>#N/A</v>
      </c>
    </row>
    <row r="1212" spans="5:10" ht="12.75" hidden="1" customHeight="1" x14ac:dyDescent="0.25">
      <c r="E1212" s="305">
        <f>SUMIF(Adjustments!A:A,A1212,Adjustments!C:C)</f>
        <v>0</v>
      </c>
      <c r="F1212" s="278">
        <f t="shared" si="18"/>
        <v>0</v>
      </c>
      <c r="G1212" s="263" t="e">
        <v>#N/A</v>
      </c>
      <c r="H1212" s="266" t="e">
        <v>#N/A</v>
      </c>
      <c r="I1212" s="267" t="e">
        <f>VLOOKUP('Trial Balance'!$A1212,'Code Allocation'!$A:$E,5,0)</f>
        <v>#N/A</v>
      </c>
      <c r="J1212" s="268" t="e">
        <f>VLOOKUP('Trial Balance'!$A1212,'Code Allocation'!$A:$F,6,0)</f>
        <v>#N/A</v>
      </c>
    </row>
    <row r="1213" spans="5:10" ht="12.75" hidden="1" customHeight="1" x14ac:dyDescent="0.25">
      <c r="E1213" s="305">
        <f>SUMIF(Adjustments!A:A,A1213,Adjustments!C:C)</f>
        <v>0</v>
      </c>
      <c r="F1213" s="278">
        <f t="shared" si="18"/>
        <v>0</v>
      </c>
      <c r="G1213" s="263" t="e">
        <v>#N/A</v>
      </c>
      <c r="H1213" s="266" t="e">
        <v>#N/A</v>
      </c>
      <c r="I1213" s="267" t="e">
        <f>VLOOKUP('Trial Balance'!$A1213,'Code Allocation'!$A:$E,5,0)</f>
        <v>#N/A</v>
      </c>
      <c r="J1213" s="268" t="e">
        <f>VLOOKUP('Trial Balance'!$A1213,'Code Allocation'!$A:$F,6,0)</f>
        <v>#N/A</v>
      </c>
    </row>
    <row r="1214" spans="5:10" ht="12.75" hidden="1" customHeight="1" x14ac:dyDescent="0.25">
      <c r="E1214" s="305">
        <f>SUMIF(Adjustments!A:A,A1214,Adjustments!C:C)</f>
        <v>0</v>
      </c>
      <c r="F1214" s="278">
        <f t="shared" si="18"/>
        <v>0</v>
      </c>
      <c r="G1214" s="263" t="e">
        <v>#N/A</v>
      </c>
      <c r="H1214" s="266" t="e">
        <v>#N/A</v>
      </c>
      <c r="I1214" s="267" t="e">
        <f>VLOOKUP('Trial Balance'!$A1214,'Code Allocation'!$A:$E,5,0)</f>
        <v>#N/A</v>
      </c>
      <c r="J1214" s="268" t="e">
        <f>VLOOKUP('Trial Balance'!$A1214,'Code Allocation'!$A:$F,6,0)</f>
        <v>#N/A</v>
      </c>
    </row>
    <row r="1215" spans="5:10" ht="12.75" hidden="1" customHeight="1" x14ac:dyDescent="0.25">
      <c r="E1215" s="305">
        <f>SUMIF(Adjustments!A:A,A1215,Adjustments!C:C)</f>
        <v>0</v>
      </c>
      <c r="F1215" s="278">
        <f t="shared" si="18"/>
        <v>0</v>
      </c>
      <c r="G1215" s="263" t="e">
        <v>#N/A</v>
      </c>
      <c r="H1215" s="266" t="e">
        <v>#N/A</v>
      </c>
      <c r="I1215" s="267" t="e">
        <f>VLOOKUP('Trial Balance'!$A1215,'Code Allocation'!$A:$E,5,0)</f>
        <v>#N/A</v>
      </c>
      <c r="J1215" s="268" t="e">
        <f>VLOOKUP('Trial Balance'!$A1215,'Code Allocation'!$A:$F,6,0)</f>
        <v>#N/A</v>
      </c>
    </row>
    <row r="1216" spans="5:10" ht="12.75" hidden="1" customHeight="1" x14ac:dyDescent="0.25">
      <c r="E1216" s="305">
        <f>SUMIF(Adjustments!A:A,A1216,Adjustments!C:C)</f>
        <v>0</v>
      </c>
      <c r="F1216" s="278">
        <f t="shared" si="18"/>
        <v>0</v>
      </c>
      <c r="G1216" s="263" t="e">
        <v>#N/A</v>
      </c>
      <c r="H1216" s="266" t="e">
        <v>#N/A</v>
      </c>
      <c r="I1216" s="267" t="e">
        <f>VLOOKUP('Trial Balance'!$A1216,'Code Allocation'!$A:$E,5,0)</f>
        <v>#N/A</v>
      </c>
      <c r="J1216" s="268" t="e">
        <f>VLOOKUP('Trial Balance'!$A1216,'Code Allocation'!$A:$F,6,0)</f>
        <v>#N/A</v>
      </c>
    </row>
    <row r="1217" spans="5:10" ht="12.75" hidden="1" customHeight="1" x14ac:dyDescent="0.25">
      <c r="E1217" s="305">
        <f>SUMIF(Adjustments!A:A,A1217,Adjustments!C:C)</f>
        <v>0</v>
      </c>
      <c r="F1217" s="278">
        <f t="shared" si="18"/>
        <v>0</v>
      </c>
      <c r="G1217" s="263" t="e">
        <v>#N/A</v>
      </c>
      <c r="H1217" s="266" t="e">
        <v>#N/A</v>
      </c>
      <c r="I1217" s="267" t="e">
        <f>VLOOKUP('Trial Balance'!$A1217,'Code Allocation'!$A:$E,5,0)</f>
        <v>#N/A</v>
      </c>
      <c r="J1217" s="268" t="e">
        <f>VLOOKUP('Trial Balance'!$A1217,'Code Allocation'!$A:$F,6,0)</f>
        <v>#N/A</v>
      </c>
    </row>
    <row r="1218" spans="5:10" ht="12.75" hidden="1" customHeight="1" x14ac:dyDescent="0.25">
      <c r="E1218" s="305">
        <f>SUMIF(Adjustments!A:A,A1218,Adjustments!C:C)</f>
        <v>0</v>
      </c>
      <c r="F1218" s="278">
        <f t="shared" si="18"/>
        <v>0</v>
      </c>
      <c r="G1218" s="263" t="e">
        <v>#N/A</v>
      </c>
      <c r="H1218" s="266" t="e">
        <v>#N/A</v>
      </c>
      <c r="I1218" s="267" t="e">
        <f>VLOOKUP('Trial Balance'!$A1218,'Code Allocation'!$A:$E,5,0)</f>
        <v>#N/A</v>
      </c>
      <c r="J1218" s="268" t="e">
        <f>VLOOKUP('Trial Balance'!$A1218,'Code Allocation'!$A:$F,6,0)</f>
        <v>#N/A</v>
      </c>
    </row>
    <row r="1219" spans="5:10" ht="12.75" hidden="1" customHeight="1" x14ac:dyDescent="0.25">
      <c r="E1219" s="305">
        <f>SUMIF(Adjustments!A:A,A1219,Adjustments!C:C)</f>
        <v>0</v>
      </c>
      <c r="F1219" s="278">
        <f t="shared" si="18"/>
        <v>0</v>
      </c>
      <c r="G1219" s="263" t="e">
        <v>#N/A</v>
      </c>
      <c r="H1219" s="266" t="e">
        <v>#N/A</v>
      </c>
      <c r="I1219" s="267" t="e">
        <f>VLOOKUP('Trial Balance'!$A1219,'Code Allocation'!$A:$E,5,0)</f>
        <v>#N/A</v>
      </c>
      <c r="J1219" s="268" t="e">
        <f>VLOOKUP('Trial Balance'!$A1219,'Code Allocation'!$A:$F,6,0)</f>
        <v>#N/A</v>
      </c>
    </row>
    <row r="1220" spans="5:10" ht="12.75" hidden="1" customHeight="1" x14ac:dyDescent="0.25">
      <c r="E1220" s="305">
        <f>SUMIF(Adjustments!A:A,A1220,Adjustments!C:C)</f>
        <v>0</v>
      </c>
      <c r="F1220" s="278">
        <f t="shared" si="18"/>
        <v>0</v>
      </c>
      <c r="G1220" s="263" t="e">
        <v>#N/A</v>
      </c>
      <c r="H1220" s="266" t="e">
        <v>#N/A</v>
      </c>
      <c r="I1220" s="267" t="e">
        <f>VLOOKUP('Trial Balance'!$A1220,'Code Allocation'!$A:$E,5,0)</f>
        <v>#N/A</v>
      </c>
      <c r="J1220" s="268" t="e">
        <f>VLOOKUP('Trial Balance'!$A1220,'Code Allocation'!$A:$F,6,0)</f>
        <v>#N/A</v>
      </c>
    </row>
    <row r="1221" spans="5:10" ht="12.75" hidden="1" customHeight="1" x14ac:dyDescent="0.25">
      <c r="E1221" s="305">
        <f>SUMIF(Adjustments!A:A,A1221,Adjustments!C:C)</f>
        <v>0</v>
      </c>
      <c r="F1221" s="278">
        <f t="shared" si="18"/>
        <v>0</v>
      </c>
      <c r="G1221" s="263" t="e">
        <v>#N/A</v>
      </c>
      <c r="H1221" s="266" t="e">
        <v>#N/A</v>
      </c>
      <c r="I1221" s="267" t="e">
        <f>VLOOKUP('Trial Balance'!$A1221,'Code Allocation'!$A:$E,5,0)</f>
        <v>#N/A</v>
      </c>
      <c r="J1221" s="268" t="e">
        <f>VLOOKUP('Trial Balance'!$A1221,'Code Allocation'!$A:$F,6,0)</f>
        <v>#N/A</v>
      </c>
    </row>
    <row r="1222" spans="5:10" ht="12.75" hidden="1" customHeight="1" x14ac:dyDescent="0.25">
      <c r="E1222" s="305">
        <f>SUMIF(Adjustments!A:A,A1222,Adjustments!C:C)</f>
        <v>0</v>
      </c>
      <c r="F1222" s="278">
        <f t="shared" si="18"/>
        <v>0</v>
      </c>
      <c r="G1222" s="263" t="e">
        <v>#N/A</v>
      </c>
      <c r="H1222" s="266" t="e">
        <v>#N/A</v>
      </c>
      <c r="I1222" s="267" t="e">
        <f>VLOOKUP('Trial Balance'!$A1222,'Code Allocation'!$A:$E,5,0)</f>
        <v>#N/A</v>
      </c>
      <c r="J1222" s="268" t="e">
        <f>VLOOKUP('Trial Balance'!$A1222,'Code Allocation'!$A:$F,6,0)</f>
        <v>#N/A</v>
      </c>
    </row>
    <row r="1223" spans="5:10" ht="12.75" hidden="1" customHeight="1" x14ac:dyDescent="0.25">
      <c r="E1223" s="305">
        <f>SUMIF(Adjustments!A:A,A1223,Adjustments!C:C)</f>
        <v>0</v>
      </c>
      <c r="F1223" s="278">
        <f t="shared" si="18"/>
        <v>0</v>
      </c>
      <c r="G1223" s="263" t="e">
        <v>#N/A</v>
      </c>
      <c r="H1223" s="266" t="e">
        <v>#N/A</v>
      </c>
      <c r="I1223" s="267" t="e">
        <f>VLOOKUP('Trial Balance'!$A1223,'Code Allocation'!$A:$E,5,0)</f>
        <v>#N/A</v>
      </c>
      <c r="J1223" s="268" t="e">
        <f>VLOOKUP('Trial Balance'!$A1223,'Code Allocation'!$A:$F,6,0)</f>
        <v>#N/A</v>
      </c>
    </row>
    <row r="1224" spans="5:10" ht="12.75" hidden="1" customHeight="1" x14ac:dyDescent="0.25">
      <c r="E1224" s="305">
        <f>SUMIF(Adjustments!A:A,A1224,Adjustments!C:C)</f>
        <v>0</v>
      </c>
      <c r="F1224" s="278">
        <f t="shared" si="18"/>
        <v>0</v>
      </c>
      <c r="G1224" s="263" t="e">
        <v>#N/A</v>
      </c>
      <c r="H1224" s="266" t="e">
        <v>#N/A</v>
      </c>
      <c r="I1224" s="267" t="e">
        <f>VLOOKUP('Trial Balance'!$A1224,'Code Allocation'!$A:$E,5,0)</f>
        <v>#N/A</v>
      </c>
      <c r="J1224" s="268" t="e">
        <f>VLOOKUP('Trial Balance'!$A1224,'Code Allocation'!$A:$F,6,0)</f>
        <v>#N/A</v>
      </c>
    </row>
    <row r="1225" spans="5:10" ht="12.75" hidden="1" customHeight="1" x14ac:dyDescent="0.25">
      <c r="E1225" s="305">
        <f>SUMIF(Adjustments!A:A,A1225,Adjustments!C:C)</f>
        <v>0</v>
      </c>
      <c r="F1225" s="278">
        <f t="shared" si="18"/>
        <v>0</v>
      </c>
      <c r="G1225" s="263" t="e">
        <v>#N/A</v>
      </c>
      <c r="H1225" s="266" t="e">
        <v>#N/A</v>
      </c>
      <c r="I1225" s="267" t="e">
        <f>VLOOKUP('Trial Balance'!$A1225,'Code Allocation'!$A:$E,5,0)</f>
        <v>#N/A</v>
      </c>
      <c r="J1225" s="268" t="e">
        <f>VLOOKUP('Trial Balance'!$A1225,'Code Allocation'!$A:$F,6,0)</f>
        <v>#N/A</v>
      </c>
    </row>
    <row r="1226" spans="5:10" ht="12.75" hidden="1" customHeight="1" x14ac:dyDescent="0.25">
      <c r="E1226" s="305">
        <f>SUMIF(Adjustments!A:A,A1226,Adjustments!C:C)</f>
        <v>0</v>
      </c>
      <c r="F1226" s="278">
        <f t="shared" si="18"/>
        <v>0</v>
      </c>
      <c r="G1226" s="263" t="e">
        <v>#N/A</v>
      </c>
      <c r="H1226" s="266" t="e">
        <v>#N/A</v>
      </c>
      <c r="I1226" s="267" t="e">
        <f>VLOOKUP('Trial Balance'!$A1226,'Code Allocation'!$A:$E,5,0)</f>
        <v>#N/A</v>
      </c>
      <c r="J1226" s="268" t="e">
        <f>VLOOKUP('Trial Balance'!$A1226,'Code Allocation'!$A:$F,6,0)</f>
        <v>#N/A</v>
      </c>
    </row>
    <row r="1227" spans="5:10" ht="12.75" hidden="1" customHeight="1" x14ac:dyDescent="0.25">
      <c r="E1227" s="305">
        <f>SUMIF(Adjustments!A:A,A1227,Adjustments!C:C)</f>
        <v>0</v>
      </c>
      <c r="F1227" s="278">
        <f t="shared" si="18"/>
        <v>0</v>
      </c>
      <c r="G1227" s="263" t="e">
        <v>#N/A</v>
      </c>
      <c r="H1227" s="266" t="e">
        <v>#N/A</v>
      </c>
      <c r="I1227" s="267" t="e">
        <f>VLOOKUP('Trial Balance'!$A1227,'Code Allocation'!$A:$E,5,0)</f>
        <v>#N/A</v>
      </c>
      <c r="J1227" s="268" t="e">
        <f>VLOOKUP('Trial Balance'!$A1227,'Code Allocation'!$A:$F,6,0)</f>
        <v>#N/A</v>
      </c>
    </row>
    <row r="1228" spans="5:10" ht="12.75" hidden="1" customHeight="1" x14ac:dyDescent="0.25">
      <c r="E1228" s="305">
        <f>SUMIF(Adjustments!A:A,A1228,Adjustments!C:C)</f>
        <v>0</v>
      </c>
      <c r="F1228" s="278">
        <f t="shared" si="18"/>
        <v>0</v>
      </c>
      <c r="G1228" s="263" t="e">
        <v>#N/A</v>
      </c>
      <c r="H1228" s="266" t="e">
        <v>#N/A</v>
      </c>
      <c r="I1228" s="267" t="e">
        <f>VLOOKUP('Trial Balance'!$A1228,'Code Allocation'!$A:$E,5,0)</f>
        <v>#N/A</v>
      </c>
      <c r="J1228" s="268" t="e">
        <f>VLOOKUP('Trial Balance'!$A1228,'Code Allocation'!$A:$F,6,0)</f>
        <v>#N/A</v>
      </c>
    </row>
    <row r="1229" spans="5:10" ht="12.75" hidden="1" customHeight="1" x14ac:dyDescent="0.25">
      <c r="E1229" s="305">
        <f>SUMIF(Adjustments!A:A,A1229,Adjustments!C:C)</f>
        <v>0</v>
      </c>
      <c r="F1229" s="278">
        <f t="shared" si="18"/>
        <v>0</v>
      </c>
      <c r="G1229" s="263" t="e">
        <v>#N/A</v>
      </c>
      <c r="H1229" s="266" t="e">
        <v>#N/A</v>
      </c>
      <c r="I1229" s="267" t="e">
        <f>VLOOKUP('Trial Balance'!$A1229,'Code Allocation'!$A:$E,5,0)</f>
        <v>#N/A</v>
      </c>
      <c r="J1229" s="268" t="e">
        <f>VLOOKUP('Trial Balance'!$A1229,'Code Allocation'!$A:$F,6,0)</f>
        <v>#N/A</v>
      </c>
    </row>
    <row r="1230" spans="5:10" ht="12.75" hidden="1" customHeight="1" x14ac:dyDescent="0.25">
      <c r="E1230" s="305">
        <f>SUMIF(Adjustments!A:A,A1230,Adjustments!C:C)</f>
        <v>0</v>
      </c>
      <c r="F1230" s="278">
        <f t="shared" si="18"/>
        <v>0</v>
      </c>
      <c r="G1230" s="263" t="e">
        <v>#N/A</v>
      </c>
      <c r="H1230" s="266" t="e">
        <v>#N/A</v>
      </c>
      <c r="I1230" s="267" t="e">
        <f>VLOOKUP('Trial Balance'!$A1230,'Code Allocation'!$A:$E,5,0)</f>
        <v>#N/A</v>
      </c>
      <c r="J1230" s="268" t="e">
        <f>VLOOKUP('Trial Balance'!$A1230,'Code Allocation'!$A:$F,6,0)</f>
        <v>#N/A</v>
      </c>
    </row>
    <row r="1231" spans="5:10" ht="12.75" hidden="1" customHeight="1" x14ac:dyDescent="0.25">
      <c r="E1231" s="305">
        <f>SUMIF(Adjustments!A:A,A1231,Adjustments!C:C)</f>
        <v>0</v>
      </c>
      <c r="F1231" s="278">
        <f t="shared" si="18"/>
        <v>0</v>
      </c>
      <c r="G1231" s="263" t="e">
        <v>#N/A</v>
      </c>
      <c r="H1231" s="266" t="e">
        <v>#N/A</v>
      </c>
      <c r="I1231" s="267" t="e">
        <f>VLOOKUP('Trial Balance'!$A1231,'Code Allocation'!$A:$E,5,0)</f>
        <v>#N/A</v>
      </c>
      <c r="J1231" s="268" t="e">
        <f>VLOOKUP('Trial Balance'!$A1231,'Code Allocation'!$A:$F,6,0)</f>
        <v>#N/A</v>
      </c>
    </row>
    <row r="1232" spans="5:10" ht="12.75" hidden="1" customHeight="1" x14ac:dyDescent="0.25">
      <c r="E1232" s="305">
        <f>SUMIF(Adjustments!A:A,A1232,Adjustments!C:C)</f>
        <v>0</v>
      </c>
      <c r="F1232" s="278">
        <f t="shared" si="18"/>
        <v>0</v>
      </c>
      <c r="G1232" s="263" t="e">
        <v>#N/A</v>
      </c>
      <c r="H1232" s="266" t="e">
        <v>#N/A</v>
      </c>
      <c r="I1232" s="267" t="e">
        <f>VLOOKUP('Trial Balance'!$A1232,'Code Allocation'!$A:$E,5,0)</f>
        <v>#N/A</v>
      </c>
      <c r="J1232" s="268" t="e">
        <f>VLOOKUP('Trial Balance'!$A1232,'Code Allocation'!$A:$F,6,0)</f>
        <v>#N/A</v>
      </c>
    </row>
    <row r="1233" spans="5:10" ht="12.75" hidden="1" customHeight="1" x14ac:dyDescent="0.25">
      <c r="E1233" s="305">
        <f>SUMIF(Adjustments!A:A,A1233,Adjustments!C:C)</f>
        <v>0</v>
      </c>
      <c r="F1233" s="278">
        <f t="shared" si="18"/>
        <v>0</v>
      </c>
      <c r="G1233" s="263" t="e">
        <v>#N/A</v>
      </c>
      <c r="H1233" s="266" t="e">
        <v>#N/A</v>
      </c>
      <c r="I1233" s="267" t="e">
        <f>VLOOKUP('Trial Balance'!$A1233,'Code Allocation'!$A:$E,5,0)</f>
        <v>#N/A</v>
      </c>
      <c r="J1233" s="268" t="e">
        <f>VLOOKUP('Trial Balance'!$A1233,'Code Allocation'!$A:$F,6,0)</f>
        <v>#N/A</v>
      </c>
    </row>
    <row r="1234" spans="5:10" ht="12.75" hidden="1" customHeight="1" x14ac:dyDescent="0.25">
      <c r="E1234" s="305">
        <f>SUMIF(Adjustments!A:A,A1234,Adjustments!C:C)</f>
        <v>0</v>
      </c>
      <c r="F1234" s="278">
        <f t="shared" si="18"/>
        <v>0</v>
      </c>
      <c r="G1234" s="263" t="e">
        <v>#N/A</v>
      </c>
      <c r="H1234" s="266" t="e">
        <v>#N/A</v>
      </c>
      <c r="I1234" s="267" t="e">
        <f>VLOOKUP('Trial Balance'!$A1234,'Code Allocation'!$A:$E,5,0)</f>
        <v>#N/A</v>
      </c>
      <c r="J1234" s="268" t="e">
        <f>VLOOKUP('Trial Balance'!$A1234,'Code Allocation'!$A:$F,6,0)</f>
        <v>#N/A</v>
      </c>
    </row>
    <row r="1235" spans="5:10" ht="12.75" hidden="1" customHeight="1" x14ac:dyDescent="0.25">
      <c r="E1235" s="305">
        <f>SUMIF(Adjustments!A:A,A1235,Adjustments!C:C)</f>
        <v>0</v>
      </c>
      <c r="F1235" s="278">
        <f t="shared" si="18"/>
        <v>0</v>
      </c>
      <c r="G1235" s="263" t="e">
        <v>#N/A</v>
      </c>
      <c r="H1235" s="266" t="e">
        <v>#N/A</v>
      </c>
      <c r="I1235" s="267" t="e">
        <f>VLOOKUP('Trial Balance'!$A1235,'Code Allocation'!$A:$E,5,0)</f>
        <v>#N/A</v>
      </c>
      <c r="J1235" s="268" t="e">
        <f>VLOOKUP('Trial Balance'!$A1235,'Code Allocation'!$A:$F,6,0)</f>
        <v>#N/A</v>
      </c>
    </row>
    <row r="1236" spans="5:10" ht="12.75" hidden="1" customHeight="1" x14ac:dyDescent="0.25">
      <c r="E1236" s="305">
        <f>SUMIF(Adjustments!A:A,A1236,Adjustments!C:C)</f>
        <v>0</v>
      </c>
      <c r="F1236" s="278">
        <f t="shared" si="18"/>
        <v>0</v>
      </c>
      <c r="G1236" s="263" t="e">
        <v>#N/A</v>
      </c>
      <c r="H1236" s="266" t="e">
        <v>#N/A</v>
      </c>
      <c r="I1236" s="267" t="e">
        <f>VLOOKUP('Trial Balance'!$A1236,'Code Allocation'!$A:$E,5,0)</f>
        <v>#N/A</v>
      </c>
      <c r="J1236" s="268" t="e">
        <f>VLOOKUP('Trial Balance'!$A1236,'Code Allocation'!$A:$F,6,0)</f>
        <v>#N/A</v>
      </c>
    </row>
    <row r="1237" spans="5:10" ht="12.75" hidden="1" customHeight="1" x14ac:dyDescent="0.25">
      <c r="E1237" s="305">
        <f>SUMIF(Adjustments!A:A,A1237,Adjustments!C:C)</f>
        <v>0</v>
      </c>
      <c r="F1237" s="278">
        <f t="shared" si="18"/>
        <v>0</v>
      </c>
      <c r="G1237" s="263" t="e">
        <v>#N/A</v>
      </c>
      <c r="H1237" s="266" t="e">
        <v>#N/A</v>
      </c>
      <c r="I1237" s="267" t="e">
        <f>VLOOKUP('Trial Balance'!$A1237,'Code Allocation'!$A:$E,5,0)</f>
        <v>#N/A</v>
      </c>
      <c r="J1237" s="268" t="e">
        <f>VLOOKUP('Trial Balance'!$A1237,'Code Allocation'!$A:$F,6,0)</f>
        <v>#N/A</v>
      </c>
    </row>
    <row r="1238" spans="5:10" ht="12.75" hidden="1" customHeight="1" x14ac:dyDescent="0.25">
      <c r="E1238" s="305">
        <f>SUMIF(Adjustments!A:A,A1238,Adjustments!C:C)</f>
        <v>0</v>
      </c>
      <c r="F1238" s="278">
        <f t="shared" si="18"/>
        <v>0</v>
      </c>
      <c r="G1238" s="263" t="e">
        <v>#N/A</v>
      </c>
      <c r="H1238" s="266" t="e">
        <v>#N/A</v>
      </c>
      <c r="I1238" s="267" t="e">
        <f>VLOOKUP('Trial Balance'!$A1238,'Code Allocation'!$A:$E,5,0)</f>
        <v>#N/A</v>
      </c>
      <c r="J1238" s="268" t="e">
        <f>VLOOKUP('Trial Balance'!$A1238,'Code Allocation'!$A:$F,6,0)</f>
        <v>#N/A</v>
      </c>
    </row>
    <row r="1239" spans="5:10" ht="12.75" hidden="1" customHeight="1" x14ac:dyDescent="0.25">
      <c r="E1239" s="305">
        <f>SUMIF(Adjustments!A:A,A1239,Adjustments!C:C)</f>
        <v>0</v>
      </c>
      <c r="F1239" s="278">
        <f t="shared" si="18"/>
        <v>0</v>
      </c>
      <c r="G1239" s="263" t="e">
        <v>#N/A</v>
      </c>
      <c r="H1239" s="266" t="e">
        <v>#N/A</v>
      </c>
      <c r="I1239" s="267" t="e">
        <f>VLOOKUP('Trial Balance'!$A1239,'Code Allocation'!$A:$E,5,0)</f>
        <v>#N/A</v>
      </c>
      <c r="J1239" s="268" t="e">
        <f>VLOOKUP('Trial Balance'!$A1239,'Code Allocation'!$A:$F,6,0)</f>
        <v>#N/A</v>
      </c>
    </row>
    <row r="1240" spans="5:10" ht="12.75" hidden="1" customHeight="1" x14ac:dyDescent="0.25">
      <c r="E1240" s="305">
        <f>SUMIF(Adjustments!A:A,A1240,Adjustments!C:C)</f>
        <v>0</v>
      </c>
      <c r="F1240" s="278">
        <f t="shared" si="18"/>
        <v>0</v>
      </c>
      <c r="G1240" s="263" t="e">
        <v>#N/A</v>
      </c>
      <c r="H1240" s="266" t="e">
        <v>#N/A</v>
      </c>
      <c r="I1240" s="267" t="e">
        <f>VLOOKUP('Trial Balance'!$A1240,'Code Allocation'!$A:$E,5,0)</f>
        <v>#N/A</v>
      </c>
      <c r="J1240" s="268" t="e">
        <f>VLOOKUP('Trial Balance'!$A1240,'Code Allocation'!$A:$F,6,0)</f>
        <v>#N/A</v>
      </c>
    </row>
    <row r="1241" spans="5:10" ht="12.75" hidden="1" customHeight="1" x14ac:dyDescent="0.25">
      <c r="E1241" s="305">
        <f>SUMIF(Adjustments!A:A,A1241,Adjustments!C:C)</f>
        <v>0</v>
      </c>
      <c r="F1241" s="278">
        <f t="shared" si="18"/>
        <v>0</v>
      </c>
      <c r="G1241" s="263" t="e">
        <v>#N/A</v>
      </c>
      <c r="H1241" s="266" t="e">
        <v>#N/A</v>
      </c>
      <c r="I1241" s="267" t="e">
        <f>VLOOKUP('Trial Balance'!$A1241,'Code Allocation'!$A:$E,5,0)</f>
        <v>#N/A</v>
      </c>
      <c r="J1241" s="268" t="e">
        <f>VLOOKUP('Trial Balance'!$A1241,'Code Allocation'!$A:$F,6,0)</f>
        <v>#N/A</v>
      </c>
    </row>
    <row r="1242" spans="5:10" ht="12.75" hidden="1" customHeight="1" x14ac:dyDescent="0.25">
      <c r="E1242" s="305">
        <f>SUMIF(Adjustments!A:A,A1242,Adjustments!C:C)</f>
        <v>0</v>
      </c>
      <c r="F1242" s="278">
        <f t="shared" si="18"/>
        <v>0</v>
      </c>
      <c r="G1242" s="263" t="e">
        <v>#N/A</v>
      </c>
      <c r="H1242" s="266" t="e">
        <v>#N/A</v>
      </c>
      <c r="I1242" s="267" t="e">
        <f>VLOOKUP('Trial Balance'!$A1242,'Code Allocation'!$A:$E,5,0)</f>
        <v>#N/A</v>
      </c>
      <c r="J1242" s="268" t="e">
        <f>VLOOKUP('Trial Balance'!$A1242,'Code Allocation'!$A:$F,6,0)</f>
        <v>#N/A</v>
      </c>
    </row>
    <row r="1243" spans="5:10" ht="12.75" hidden="1" customHeight="1" x14ac:dyDescent="0.25">
      <c r="E1243" s="305">
        <f>SUMIF(Adjustments!A:A,A1243,Adjustments!C:C)</f>
        <v>0</v>
      </c>
      <c r="F1243" s="278">
        <f t="shared" si="18"/>
        <v>0</v>
      </c>
      <c r="G1243" s="263" t="e">
        <v>#N/A</v>
      </c>
      <c r="H1243" s="266" t="e">
        <v>#N/A</v>
      </c>
      <c r="I1243" s="267" t="e">
        <f>VLOOKUP('Trial Balance'!$A1243,'Code Allocation'!$A:$E,5,0)</f>
        <v>#N/A</v>
      </c>
      <c r="J1243" s="268" t="e">
        <f>VLOOKUP('Trial Balance'!$A1243,'Code Allocation'!$A:$F,6,0)</f>
        <v>#N/A</v>
      </c>
    </row>
    <row r="1244" spans="5:10" ht="12.75" hidden="1" customHeight="1" x14ac:dyDescent="0.25">
      <c r="E1244" s="305">
        <f>SUMIF(Adjustments!A:A,A1244,Adjustments!C:C)</f>
        <v>0</v>
      </c>
      <c r="F1244" s="278">
        <f t="shared" si="18"/>
        <v>0</v>
      </c>
      <c r="G1244" s="263" t="e">
        <v>#N/A</v>
      </c>
      <c r="H1244" s="266" t="e">
        <v>#N/A</v>
      </c>
      <c r="I1244" s="267" t="e">
        <f>VLOOKUP('Trial Balance'!$A1244,'Code Allocation'!$A:$E,5,0)</f>
        <v>#N/A</v>
      </c>
      <c r="J1244" s="268" t="e">
        <f>VLOOKUP('Trial Balance'!$A1244,'Code Allocation'!$A:$F,6,0)</f>
        <v>#N/A</v>
      </c>
    </row>
    <row r="1245" spans="5:10" ht="12.75" hidden="1" customHeight="1" x14ac:dyDescent="0.25">
      <c r="E1245" s="305">
        <f>SUMIF(Adjustments!A:A,A1245,Adjustments!C:C)</f>
        <v>0</v>
      </c>
      <c r="F1245" s="278">
        <f t="shared" si="18"/>
        <v>0</v>
      </c>
      <c r="G1245" s="263" t="e">
        <v>#N/A</v>
      </c>
      <c r="H1245" s="266" t="e">
        <v>#N/A</v>
      </c>
      <c r="I1245" s="267" t="e">
        <f>VLOOKUP('Trial Balance'!$A1245,'Code Allocation'!$A:$E,5,0)</f>
        <v>#N/A</v>
      </c>
      <c r="J1245" s="268" t="e">
        <f>VLOOKUP('Trial Balance'!$A1245,'Code Allocation'!$A:$F,6,0)</f>
        <v>#N/A</v>
      </c>
    </row>
    <row r="1246" spans="5:10" ht="12.75" hidden="1" customHeight="1" x14ac:dyDescent="0.25">
      <c r="E1246" s="305">
        <f>SUMIF(Adjustments!A:A,A1246,Adjustments!C:C)</f>
        <v>0</v>
      </c>
      <c r="F1246" s="278">
        <f t="shared" si="18"/>
        <v>0</v>
      </c>
      <c r="G1246" s="263" t="e">
        <v>#N/A</v>
      </c>
      <c r="H1246" s="266" t="e">
        <v>#N/A</v>
      </c>
      <c r="I1246" s="267" t="e">
        <f>VLOOKUP('Trial Balance'!$A1246,'Code Allocation'!$A:$E,5,0)</f>
        <v>#N/A</v>
      </c>
      <c r="J1246" s="268" t="e">
        <f>VLOOKUP('Trial Balance'!$A1246,'Code Allocation'!$A:$F,6,0)</f>
        <v>#N/A</v>
      </c>
    </row>
    <row r="1247" spans="5:10" ht="12.75" hidden="1" customHeight="1" x14ac:dyDescent="0.25">
      <c r="E1247" s="305">
        <f>SUMIF(Adjustments!A:A,A1247,Adjustments!C:C)</f>
        <v>0</v>
      </c>
      <c r="F1247" s="278">
        <f t="shared" si="18"/>
        <v>0</v>
      </c>
      <c r="G1247" s="263" t="e">
        <v>#N/A</v>
      </c>
      <c r="H1247" s="266" t="e">
        <v>#N/A</v>
      </c>
      <c r="I1247" s="267" t="e">
        <f>VLOOKUP('Trial Balance'!$A1247,'Code Allocation'!$A:$E,5,0)</f>
        <v>#N/A</v>
      </c>
      <c r="J1247" s="268" t="e">
        <f>VLOOKUP('Trial Balance'!$A1247,'Code Allocation'!$A:$F,6,0)</f>
        <v>#N/A</v>
      </c>
    </row>
    <row r="1248" spans="5:10" ht="12.75" hidden="1" customHeight="1" x14ac:dyDescent="0.25">
      <c r="E1248" s="305">
        <f>SUMIF(Adjustments!A:A,A1248,Adjustments!C:C)</f>
        <v>0</v>
      </c>
      <c r="F1248" s="278">
        <f t="shared" si="18"/>
        <v>0</v>
      </c>
      <c r="G1248" s="263" t="e">
        <v>#N/A</v>
      </c>
      <c r="H1248" s="266" t="e">
        <v>#N/A</v>
      </c>
      <c r="I1248" s="267" t="e">
        <f>VLOOKUP('Trial Balance'!$A1248,'Code Allocation'!$A:$E,5,0)</f>
        <v>#N/A</v>
      </c>
      <c r="J1248" s="268" t="e">
        <f>VLOOKUP('Trial Balance'!$A1248,'Code Allocation'!$A:$F,6,0)</f>
        <v>#N/A</v>
      </c>
    </row>
    <row r="1249" spans="5:10" ht="12.75" hidden="1" customHeight="1" x14ac:dyDescent="0.25">
      <c r="E1249" s="305">
        <f>SUMIF(Adjustments!A:A,A1249,Adjustments!C:C)</f>
        <v>0</v>
      </c>
      <c r="F1249" s="278">
        <f t="shared" si="18"/>
        <v>0</v>
      </c>
      <c r="G1249" s="263" t="e">
        <v>#N/A</v>
      </c>
      <c r="H1249" s="266" t="e">
        <v>#N/A</v>
      </c>
      <c r="I1249" s="267" t="e">
        <f>VLOOKUP('Trial Balance'!$A1249,'Code Allocation'!$A:$E,5,0)</f>
        <v>#N/A</v>
      </c>
      <c r="J1249" s="268" t="e">
        <f>VLOOKUP('Trial Balance'!$A1249,'Code Allocation'!$A:$F,6,0)</f>
        <v>#N/A</v>
      </c>
    </row>
    <row r="1250" spans="5:10" ht="12.75" hidden="1" customHeight="1" x14ac:dyDescent="0.25">
      <c r="E1250" s="305">
        <f>SUMIF(Adjustments!A:A,A1250,Adjustments!C:C)</f>
        <v>0</v>
      </c>
      <c r="F1250" s="278">
        <f t="shared" si="18"/>
        <v>0</v>
      </c>
      <c r="G1250" s="263" t="e">
        <v>#N/A</v>
      </c>
      <c r="H1250" s="266" t="e">
        <v>#N/A</v>
      </c>
      <c r="I1250" s="267" t="e">
        <f>VLOOKUP('Trial Balance'!$A1250,'Code Allocation'!$A:$E,5,0)</f>
        <v>#N/A</v>
      </c>
      <c r="J1250" s="268" t="e">
        <f>VLOOKUP('Trial Balance'!$A1250,'Code Allocation'!$A:$F,6,0)</f>
        <v>#N/A</v>
      </c>
    </row>
    <row r="1251" spans="5:10" ht="12.75" hidden="1" customHeight="1" x14ac:dyDescent="0.25">
      <c r="E1251" s="305">
        <f>SUMIF(Adjustments!A:A,A1251,Adjustments!C:C)</f>
        <v>0</v>
      </c>
      <c r="F1251" s="278">
        <f t="shared" si="18"/>
        <v>0</v>
      </c>
      <c r="G1251" s="263" t="e">
        <v>#N/A</v>
      </c>
      <c r="H1251" s="266" t="e">
        <v>#N/A</v>
      </c>
      <c r="I1251" s="267" t="e">
        <f>VLOOKUP('Trial Balance'!$A1251,'Code Allocation'!$A:$E,5,0)</f>
        <v>#N/A</v>
      </c>
      <c r="J1251" s="268" t="e">
        <f>VLOOKUP('Trial Balance'!$A1251,'Code Allocation'!$A:$F,6,0)</f>
        <v>#N/A</v>
      </c>
    </row>
    <row r="1252" spans="5:10" ht="12.75" hidden="1" customHeight="1" x14ac:dyDescent="0.25">
      <c r="E1252" s="305">
        <f>SUMIF(Adjustments!A:A,A1252,Adjustments!C:C)</f>
        <v>0</v>
      </c>
      <c r="F1252" s="278">
        <f t="shared" si="18"/>
        <v>0</v>
      </c>
      <c r="G1252" s="263" t="e">
        <v>#N/A</v>
      </c>
      <c r="H1252" s="266" t="e">
        <v>#N/A</v>
      </c>
      <c r="I1252" s="267" t="e">
        <f>VLOOKUP('Trial Balance'!$A1252,'Code Allocation'!$A:$E,5,0)</f>
        <v>#N/A</v>
      </c>
      <c r="J1252" s="268" t="e">
        <f>VLOOKUP('Trial Balance'!$A1252,'Code Allocation'!$A:$F,6,0)</f>
        <v>#N/A</v>
      </c>
    </row>
    <row r="1253" spans="5:10" ht="12.75" hidden="1" customHeight="1" x14ac:dyDescent="0.25">
      <c r="E1253" s="305">
        <f>SUMIF(Adjustments!A:A,A1253,Adjustments!C:C)</f>
        <v>0</v>
      </c>
      <c r="F1253" s="278">
        <f t="shared" si="18"/>
        <v>0</v>
      </c>
      <c r="G1253" s="263" t="e">
        <v>#N/A</v>
      </c>
      <c r="H1253" s="266" t="e">
        <v>#N/A</v>
      </c>
      <c r="I1253" s="267" t="e">
        <f>VLOOKUP('Trial Balance'!$A1253,'Code Allocation'!$A:$E,5,0)</f>
        <v>#N/A</v>
      </c>
      <c r="J1253" s="268" t="e">
        <f>VLOOKUP('Trial Balance'!$A1253,'Code Allocation'!$A:$F,6,0)</f>
        <v>#N/A</v>
      </c>
    </row>
    <row r="1254" spans="5:10" ht="12.75" hidden="1" customHeight="1" x14ac:dyDescent="0.25">
      <c r="E1254" s="305">
        <f>SUMIF(Adjustments!A:A,A1254,Adjustments!C:C)</f>
        <v>0</v>
      </c>
      <c r="F1254" s="278">
        <f t="shared" si="18"/>
        <v>0</v>
      </c>
      <c r="G1254" s="263" t="e">
        <v>#N/A</v>
      </c>
      <c r="H1254" s="266" t="e">
        <v>#N/A</v>
      </c>
      <c r="I1254" s="267" t="e">
        <f>VLOOKUP('Trial Balance'!$A1254,'Code Allocation'!$A:$E,5,0)</f>
        <v>#N/A</v>
      </c>
      <c r="J1254" s="268" t="e">
        <f>VLOOKUP('Trial Balance'!$A1254,'Code Allocation'!$A:$F,6,0)</f>
        <v>#N/A</v>
      </c>
    </row>
    <row r="1255" spans="5:10" ht="12.75" hidden="1" customHeight="1" x14ac:dyDescent="0.25">
      <c r="E1255" s="305">
        <f>SUMIF(Adjustments!A:A,A1255,Adjustments!C:C)</f>
        <v>0</v>
      </c>
      <c r="F1255" s="278">
        <f t="shared" si="18"/>
        <v>0</v>
      </c>
      <c r="G1255" s="263" t="e">
        <v>#N/A</v>
      </c>
      <c r="H1255" s="266" t="e">
        <v>#N/A</v>
      </c>
      <c r="I1255" s="267" t="e">
        <f>VLOOKUP('Trial Balance'!$A1255,'Code Allocation'!$A:$E,5,0)</f>
        <v>#N/A</v>
      </c>
      <c r="J1255" s="268" t="e">
        <f>VLOOKUP('Trial Balance'!$A1255,'Code Allocation'!$A:$F,6,0)</f>
        <v>#N/A</v>
      </c>
    </row>
    <row r="1256" spans="5:10" ht="12.75" hidden="1" customHeight="1" x14ac:dyDescent="0.25">
      <c r="E1256" s="305">
        <f>SUMIF(Adjustments!A:A,A1256,Adjustments!C:C)</f>
        <v>0</v>
      </c>
      <c r="F1256" s="278">
        <f t="shared" si="18"/>
        <v>0</v>
      </c>
      <c r="G1256" s="263" t="e">
        <v>#N/A</v>
      </c>
      <c r="H1256" s="266" t="e">
        <v>#N/A</v>
      </c>
      <c r="I1256" s="267" t="e">
        <f>VLOOKUP('Trial Balance'!$A1256,'Code Allocation'!$A:$E,5,0)</f>
        <v>#N/A</v>
      </c>
      <c r="J1256" s="268" t="e">
        <f>VLOOKUP('Trial Balance'!$A1256,'Code Allocation'!$A:$F,6,0)</f>
        <v>#N/A</v>
      </c>
    </row>
    <row r="1257" spans="5:10" ht="12.75" hidden="1" customHeight="1" x14ac:dyDescent="0.25">
      <c r="E1257" s="305">
        <f>SUMIF(Adjustments!A:A,A1257,Adjustments!C:C)</f>
        <v>0</v>
      </c>
      <c r="F1257" s="278">
        <f t="shared" si="18"/>
        <v>0</v>
      </c>
      <c r="G1257" s="263" t="e">
        <v>#N/A</v>
      </c>
      <c r="H1257" s="266" t="e">
        <v>#N/A</v>
      </c>
      <c r="I1257" s="267" t="e">
        <f>VLOOKUP('Trial Balance'!$A1257,'Code Allocation'!$A:$E,5,0)</f>
        <v>#N/A</v>
      </c>
      <c r="J1257" s="268" t="e">
        <f>VLOOKUP('Trial Balance'!$A1257,'Code Allocation'!$A:$F,6,0)</f>
        <v>#N/A</v>
      </c>
    </row>
    <row r="1258" spans="5:10" ht="12.75" hidden="1" customHeight="1" x14ac:dyDescent="0.25">
      <c r="E1258" s="305">
        <f>SUMIF(Adjustments!A:A,A1258,Adjustments!C:C)</f>
        <v>0</v>
      </c>
      <c r="F1258" s="278">
        <f t="shared" si="18"/>
        <v>0</v>
      </c>
      <c r="G1258" s="263" t="e">
        <v>#N/A</v>
      </c>
      <c r="H1258" s="266" t="e">
        <v>#N/A</v>
      </c>
      <c r="I1258" s="267" t="e">
        <f>VLOOKUP('Trial Balance'!$A1258,'Code Allocation'!$A:$E,5,0)</f>
        <v>#N/A</v>
      </c>
      <c r="J1258" s="268" t="e">
        <f>VLOOKUP('Trial Balance'!$A1258,'Code Allocation'!$A:$F,6,0)</f>
        <v>#N/A</v>
      </c>
    </row>
    <row r="1259" spans="5:10" ht="12.75" hidden="1" customHeight="1" x14ac:dyDescent="0.25">
      <c r="E1259" s="305">
        <f>SUMIF(Adjustments!A:A,A1259,Adjustments!C:C)</f>
        <v>0</v>
      </c>
      <c r="F1259" s="278">
        <f t="shared" si="18"/>
        <v>0</v>
      </c>
      <c r="G1259" s="263" t="e">
        <v>#N/A</v>
      </c>
      <c r="H1259" s="266" t="e">
        <v>#N/A</v>
      </c>
      <c r="I1259" s="267" t="e">
        <f>VLOOKUP('Trial Balance'!$A1259,'Code Allocation'!$A:$E,5,0)</f>
        <v>#N/A</v>
      </c>
      <c r="J1259" s="268" t="e">
        <f>VLOOKUP('Trial Balance'!$A1259,'Code Allocation'!$A:$F,6,0)</f>
        <v>#N/A</v>
      </c>
    </row>
    <row r="1260" spans="5:10" ht="12.75" hidden="1" customHeight="1" x14ac:dyDescent="0.25">
      <c r="E1260" s="305">
        <f>SUMIF(Adjustments!A:A,A1260,Adjustments!C:C)</f>
        <v>0</v>
      </c>
      <c r="F1260" s="278">
        <f t="shared" ref="F1260:F1323" si="19">C1260-D1260+E1260</f>
        <v>0</v>
      </c>
      <c r="G1260" s="263" t="e">
        <v>#N/A</v>
      </c>
      <c r="H1260" s="266" t="e">
        <v>#N/A</v>
      </c>
      <c r="I1260" s="267" t="e">
        <f>VLOOKUP('Trial Balance'!$A1260,'Code Allocation'!$A:$E,5,0)</f>
        <v>#N/A</v>
      </c>
      <c r="J1260" s="268" t="e">
        <f>VLOOKUP('Trial Balance'!$A1260,'Code Allocation'!$A:$F,6,0)</f>
        <v>#N/A</v>
      </c>
    </row>
    <row r="1261" spans="5:10" ht="12.75" hidden="1" customHeight="1" x14ac:dyDescent="0.25">
      <c r="E1261" s="305">
        <f>SUMIF(Adjustments!A:A,A1261,Adjustments!C:C)</f>
        <v>0</v>
      </c>
      <c r="F1261" s="278">
        <f t="shared" si="19"/>
        <v>0</v>
      </c>
      <c r="G1261" s="263" t="e">
        <v>#N/A</v>
      </c>
      <c r="H1261" s="266" t="e">
        <v>#N/A</v>
      </c>
      <c r="I1261" s="267" t="e">
        <f>VLOOKUP('Trial Balance'!$A1261,'Code Allocation'!$A:$E,5,0)</f>
        <v>#N/A</v>
      </c>
      <c r="J1261" s="268" t="e">
        <f>VLOOKUP('Trial Balance'!$A1261,'Code Allocation'!$A:$F,6,0)</f>
        <v>#N/A</v>
      </c>
    </row>
    <row r="1262" spans="5:10" ht="12.75" hidden="1" customHeight="1" x14ac:dyDescent="0.25">
      <c r="E1262" s="305">
        <f>SUMIF(Adjustments!A:A,A1262,Adjustments!C:C)</f>
        <v>0</v>
      </c>
      <c r="F1262" s="278">
        <f t="shared" si="19"/>
        <v>0</v>
      </c>
      <c r="G1262" s="263" t="e">
        <v>#N/A</v>
      </c>
      <c r="H1262" s="266" t="e">
        <v>#N/A</v>
      </c>
      <c r="I1262" s="267" t="e">
        <f>VLOOKUP('Trial Balance'!$A1262,'Code Allocation'!$A:$E,5,0)</f>
        <v>#N/A</v>
      </c>
      <c r="J1262" s="268" t="e">
        <f>VLOOKUP('Trial Balance'!$A1262,'Code Allocation'!$A:$F,6,0)</f>
        <v>#N/A</v>
      </c>
    </row>
    <row r="1263" spans="5:10" ht="12.75" hidden="1" customHeight="1" x14ac:dyDescent="0.25">
      <c r="E1263" s="305">
        <f>SUMIF(Adjustments!A:A,A1263,Adjustments!C:C)</f>
        <v>0</v>
      </c>
      <c r="F1263" s="278">
        <f t="shared" si="19"/>
        <v>0</v>
      </c>
      <c r="G1263" s="263" t="e">
        <v>#N/A</v>
      </c>
      <c r="H1263" s="266" t="e">
        <v>#N/A</v>
      </c>
      <c r="I1263" s="267" t="e">
        <f>VLOOKUP('Trial Balance'!$A1263,'Code Allocation'!$A:$E,5,0)</f>
        <v>#N/A</v>
      </c>
      <c r="J1263" s="268" t="e">
        <f>VLOOKUP('Trial Balance'!$A1263,'Code Allocation'!$A:$F,6,0)</f>
        <v>#N/A</v>
      </c>
    </row>
    <row r="1264" spans="5:10" ht="12.75" hidden="1" customHeight="1" x14ac:dyDescent="0.25">
      <c r="E1264" s="305">
        <f>SUMIF(Adjustments!A:A,A1264,Adjustments!C:C)</f>
        <v>0</v>
      </c>
      <c r="F1264" s="278">
        <f t="shared" si="19"/>
        <v>0</v>
      </c>
      <c r="G1264" s="263" t="e">
        <v>#N/A</v>
      </c>
      <c r="H1264" s="266" t="e">
        <v>#N/A</v>
      </c>
      <c r="I1264" s="267" t="e">
        <f>VLOOKUP('Trial Balance'!$A1264,'Code Allocation'!$A:$E,5,0)</f>
        <v>#N/A</v>
      </c>
      <c r="J1264" s="268" t="e">
        <f>VLOOKUP('Trial Balance'!$A1264,'Code Allocation'!$A:$F,6,0)</f>
        <v>#N/A</v>
      </c>
    </row>
    <row r="1265" spans="5:10" ht="12.75" hidden="1" customHeight="1" x14ac:dyDescent="0.25">
      <c r="E1265" s="305">
        <f>SUMIF(Adjustments!A:A,A1265,Adjustments!C:C)</f>
        <v>0</v>
      </c>
      <c r="F1265" s="278">
        <f t="shared" si="19"/>
        <v>0</v>
      </c>
      <c r="G1265" s="263" t="e">
        <v>#N/A</v>
      </c>
      <c r="H1265" s="266" t="e">
        <v>#N/A</v>
      </c>
      <c r="I1265" s="267" t="e">
        <f>VLOOKUP('Trial Balance'!$A1265,'Code Allocation'!$A:$E,5,0)</f>
        <v>#N/A</v>
      </c>
      <c r="J1265" s="268" t="e">
        <f>VLOOKUP('Trial Balance'!$A1265,'Code Allocation'!$A:$F,6,0)</f>
        <v>#N/A</v>
      </c>
    </row>
    <row r="1266" spans="5:10" ht="12.75" hidden="1" customHeight="1" x14ac:dyDescent="0.25">
      <c r="E1266" s="305">
        <f>SUMIF(Adjustments!A:A,A1266,Adjustments!C:C)</f>
        <v>0</v>
      </c>
      <c r="F1266" s="278">
        <f t="shared" si="19"/>
        <v>0</v>
      </c>
      <c r="G1266" s="263" t="e">
        <v>#N/A</v>
      </c>
      <c r="H1266" s="266" t="e">
        <v>#N/A</v>
      </c>
      <c r="I1266" s="267" t="e">
        <f>VLOOKUP('Trial Balance'!$A1266,'Code Allocation'!$A:$E,5,0)</f>
        <v>#N/A</v>
      </c>
      <c r="J1266" s="268" t="e">
        <f>VLOOKUP('Trial Balance'!$A1266,'Code Allocation'!$A:$F,6,0)</f>
        <v>#N/A</v>
      </c>
    </row>
    <row r="1267" spans="5:10" ht="12.75" hidden="1" customHeight="1" x14ac:dyDescent="0.25">
      <c r="E1267" s="305">
        <f>SUMIF(Adjustments!A:A,A1267,Adjustments!C:C)</f>
        <v>0</v>
      </c>
      <c r="F1267" s="278">
        <f t="shared" si="19"/>
        <v>0</v>
      </c>
      <c r="G1267" s="263" t="e">
        <v>#N/A</v>
      </c>
      <c r="H1267" s="266" t="e">
        <v>#N/A</v>
      </c>
      <c r="I1267" s="267" t="e">
        <f>VLOOKUP('Trial Balance'!$A1267,'Code Allocation'!$A:$E,5,0)</f>
        <v>#N/A</v>
      </c>
      <c r="J1267" s="268" t="e">
        <f>VLOOKUP('Trial Balance'!$A1267,'Code Allocation'!$A:$F,6,0)</f>
        <v>#N/A</v>
      </c>
    </row>
    <row r="1268" spans="5:10" ht="12.75" hidden="1" customHeight="1" x14ac:dyDescent="0.25">
      <c r="E1268" s="305">
        <f>SUMIF(Adjustments!A:A,A1268,Adjustments!C:C)</f>
        <v>0</v>
      </c>
      <c r="F1268" s="278">
        <f t="shared" si="19"/>
        <v>0</v>
      </c>
      <c r="G1268" s="263" t="e">
        <v>#N/A</v>
      </c>
      <c r="H1268" s="266" t="e">
        <v>#N/A</v>
      </c>
      <c r="I1268" s="267" t="e">
        <f>VLOOKUP('Trial Balance'!$A1268,'Code Allocation'!$A:$E,5,0)</f>
        <v>#N/A</v>
      </c>
      <c r="J1268" s="268" t="e">
        <f>VLOOKUP('Trial Balance'!$A1268,'Code Allocation'!$A:$F,6,0)</f>
        <v>#N/A</v>
      </c>
    </row>
    <row r="1269" spans="5:10" ht="12.75" hidden="1" customHeight="1" x14ac:dyDescent="0.25">
      <c r="E1269" s="305">
        <f>SUMIF(Adjustments!A:A,A1269,Adjustments!C:C)</f>
        <v>0</v>
      </c>
      <c r="F1269" s="278">
        <f t="shared" si="19"/>
        <v>0</v>
      </c>
      <c r="G1269" s="263" t="e">
        <v>#N/A</v>
      </c>
      <c r="H1269" s="266" t="e">
        <v>#N/A</v>
      </c>
      <c r="I1269" s="267" t="e">
        <f>VLOOKUP('Trial Balance'!$A1269,'Code Allocation'!$A:$E,5,0)</f>
        <v>#N/A</v>
      </c>
      <c r="J1269" s="268" t="e">
        <f>VLOOKUP('Trial Balance'!$A1269,'Code Allocation'!$A:$F,6,0)</f>
        <v>#N/A</v>
      </c>
    </row>
    <row r="1270" spans="5:10" ht="12.75" hidden="1" customHeight="1" x14ac:dyDescent="0.25">
      <c r="E1270" s="305">
        <f>SUMIF(Adjustments!A:A,A1270,Adjustments!C:C)</f>
        <v>0</v>
      </c>
      <c r="F1270" s="278">
        <f t="shared" si="19"/>
        <v>0</v>
      </c>
      <c r="G1270" s="263" t="e">
        <v>#N/A</v>
      </c>
      <c r="H1270" s="266" t="e">
        <v>#N/A</v>
      </c>
      <c r="I1270" s="267" t="e">
        <f>VLOOKUP('Trial Balance'!$A1270,'Code Allocation'!$A:$E,5,0)</f>
        <v>#N/A</v>
      </c>
      <c r="J1270" s="268" t="e">
        <f>VLOOKUP('Trial Balance'!$A1270,'Code Allocation'!$A:$F,6,0)</f>
        <v>#N/A</v>
      </c>
    </row>
    <row r="1271" spans="5:10" ht="12.75" hidden="1" customHeight="1" x14ac:dyDescent="0.25">
      <c r="E1271" s="305">
        <f>SUMIF(Adjustments!A:A,A1271,Adjustments!C:C)</f>
        <v>0</v>
      </c>
      <c r="F1271" s="278">
        <f t="shared" si="19"/>
        <v>0</v>
      </c>
      <c r="G1271" s="263" t="e">
        <v>#N/A</v>
      </c>
      <c r="H1271" s="266" t="e">
        <v>#N/A</v>
      </c>
      <c r="I1271" s="267" t="e">
        <f>VLOOKUP('Trial Balance'!$A1271,'Code Allocation'!$A:$E,5,0)</f>
        <v>#N/A</v>
      </c>
      <c r="J1271" s="268" t="e">
        <f>VLOOKUP('Trial Balance'!$A1271,'Code Allocation'!$A:$F,6,0)</f>
        <v>#N/A</v>
      </c>
    </row>
    <row r="1272" spans="5:10" ht="12.75" hidden="1" customHeight="1" x14ac:dyDescent="0.25">
      <c r="E1272" s="305">
        <f>SUMIF(Adjustments!A:A,A1272,Adjustments!C:C)</f>
        <v>0</v>
      </c>
      <c r="F1272" s="278">
        <f t="shared" si="19"/>
        <v>0</v>
      </c>
      <c r="G1272" s="263" t="e">
        <v>#N/A</v>
      </c>
      <c r="H1272" s="266" t="e">
        <v>#N/A</v>
      </c>
      <c r="I1272" s="267" t="e">
        <f>VLOOKUP('Trial Balance'!$A1272,'Code Allocation'!$A:$E,5,0)</f>
        <v>#N/A</v>
      </c>
      <c r="J1272" s="268" t="e">
        <f>VLOOKUP('Trial Balance'!$A1272,'Code Allocation'!$A:$F,6,0)</f>
        <v>#N/A</v>
      </c>
    </row>
    <row r="1273" spans="5:10" ht="12.75" hidden="1" customHeight="1" x14ac:dyDescent="0.25">
      <c r="E1273" s="305">
        <f>SUMIF(Adjustments!A:A,A1273,Adjustments!C:C)</f>
        <v>0</v>
      </c>
      <c r="F1273" s="278">
        <f t="shared" si="19"/>
        <v>0</v>
      </c>
      <c r="G1273" s="263" t="e">
        <v>#N/A</v>
      </c>
      <c r="H1273" s="266" t="e">
        <v>#N/A</v>
      </c>
      <c r="I1273" s="267" t="e">
        <f>VLOOKUP('Trial Balance'!$A1273,'Code Allocation'!$A:$E,5,0)</f>
        <v>#N/A</v>
      </c>
      <c r="J1273" s="268" t="e">
        <f>VLOOKUP('Trial Balance'!$A1273,'Code Allocation'!$A:$F,6,0)</f>
        <v>#N/A</v>
      </c>
    </row>
    <row r="1274" spans="5:10" ht="12.75" hidden="1" customHeight="1" x14ac:dyDescent="0.25">
      <c r="E1274" s="305">
        <f>SUMIF(Adjustments!A:A,A1274,Adjustments!C:C)</f>
        <v>0</v>
      </c>
      <c r="F1274" s="278">
        <f t="shared" si="19"/>
        <v>0</v>
      </c>
      <c r="G1274" s="263" t="e">
        <v>#N/A</v>
      </c>
      <c r="H1274" s="266" t="e">
        <v>#N/A</v>
      </c>
      <c r="I1274" s="267" t="e">
        <f>VLOOKUP('Trial Balance'!$A1274,'Code Allocation'!$A:$E,5,0)</f>
        <v>#N/A</v>
      </c>
      <c r="J1274" s="268" t="e">
        <f>VLOOKUP('Trial Balance'!$A1274,'Code Allocation'!$A:$F,6,0)</f>
        <v>#N/A</v>
      </c>
    </row>
    <row r="1275" spans="5:10" ht="12.75" hidden="1" customHeight="1" x14ac:dyDescent="0.25">
      <c r="E1275" s="305">
        <f>SUMIF(Adjustments!A:A,A1275,Adjustments!C:C)</f>
        <v>0</v>
      </c>
      <c r="F1275" s="278">
        <f t="shared" si="19"/>
        <v>0</v>
      </c>
      <c r="G1275" s="263" t="e">
        <v>#N/A</v>
      </c>
      <c r="H1275" s="266" t="e">
        <v>#N/A</v>
      </c>
      <c r="I1275" s="267" t="e">
        <f>VLOOKUP('Trial Balance'!$A1275,'Code Allocation'!$A:$E,5,0)</f>
        <v>#N/A</v>
      </c>
      <c r="J1275" s="268" t="e">
        <f>VLOOKUP('Trial Balance'!$A1275,'Code Allocation'!$A:$F,6,0)</f>
        <v>#N/A</v>
      </c>
    </row>
    <row r="1276" spans="5:10" ht="12.75" hidden="1" customHeight="1" x14ac:dyDescent="0.25">
      <c r="E1276" s="305">
        <f>SUMIF(Adjustments!A:A,A1276,Adjustments!C:C)</f>
        <v>0</v>
      </c>
      <c r="F1276" s="278">
        <f t="shared" si="19"/>
        <v>0</v>
      </c>
      <c r="G1276" s="263" t="e">
        <v>#N/A</v>
      </c>
      <c r="H1276" s="266" t="e">
        <v>#N/A</v>
      </c>
      <c r="I1276" s="267" t="e">
        <f>VLOOKUP('Trial Balance'!$A1276,'Code Allocation'!$A:$E,5,0)</f>
        <v>#N/A</v>
      </c>
      <c r="J1276" s="268" t="e">
        <f>VLOOKUP('Trial Balance'!$A1276,'Code Allocation'!$A:$F,6,0)</f>
        <v>#N/A</v>
      </c>
    </row>
    <row r="1277" spans="5:10" ht="12.75" hidden="1" customHeight="1" x14ac:dyDescent="0.25">
      <c r="E1277" s="305">
        <f>SUMIF(Adjustments!A:A,A1277,Adjustments!C:C)</f>
        <v>0</v>
      </c>
      <c r="F1277" s="278">
        <f t="shared" si="19"/>
        <v>0</v>
      </c>
      <c r="G1277" s="263" t="e">
        <v>#N/A</v>
      </c>
      <c r="H1277" s="266" t="e">
        <v>#N/A</v>
      </c>
      <c r="I1277" s="267" t="e">
        <f>VLOOKUP('Trial Balance'!$A1277,'Code Allocation'!$A:$E,5,0)</f>
        <v>#N/A</v>
      </c>
      <c r="J1277" s="268" t="e">
        <f>VLOOKUP('Trial Balance'!$A1277,'Code Allocation'!$A:$F,6,0)</f>
        <v>#N/A</v>
      </c>
    </row>
    <row r="1278" spans="5:10" ht="12.75" hidden="1" customHeight="1" x14ac:dyDescent="0.25">
      <c r="E1278" s="305">
        <f>SUMIF(Adjustments!A:A,A1278,Adjustments!C:C)</f>
        <v>0</v>
      </c>
      <c r="F1278" s="278">
        <f t="shared" si="19"/>
        <v>0</v>
      </c>
      <c r="G1278" s="263" t="e">
        <v>#N/A</v>
      </c>
      <c r="H1278" s="266" t="e">
        <v>#N/A</v>
      </c>
      <c r="I1278" s="267" t="e">
        <f>VLOOKUP('Trial Balance'!$A1278,'Code Allocation'!$A:$E,5,0)</f>
        <v>#N/A</v>
      </c>
      <c r="J1278" s="268" t="e">
        <f>VLOOKUP('Trial Balance'!$A1278,'Code Allocation'!$A:$F,6,0)</f>
        <v>#N/A</v>
      </c>
    </row>
    <row r="1279" spans="5:10" ht="12.75" hidden="1" customHeight="1" x14ac:dyDescent="0.25">
      <c r="E1279" s="305">
        <f>SUMIF(Adjustments!A:A,A1279,Adjustments!C:C)</f>
        <v>0</v>
      </c>
      <c r="F1279" s="278">
        <f t="shared" si="19"/>
        <v>0</v>
      </c>
      <c r="G1279" s="263" t="e">
        <v>#N/A</v>
      </c>
      <c r="H1279" s="266" t="e">
        <v>#N/A</v>
      </c>
      <c r="I1279" s="267" t="e">
        <f>VLOOKUP('Trial Balance'!$A1279,'Code Allocation'!$A:$E,5,0)</f>
        <v>#N/A</v>
      </c>
      <c r="J1279" s="268" t="e">
        <f>VLOOKUP('Trial Balance'!$A1279,'Code Allocation'!$A:$F,6,0)</f>
        <v>#N/A</v>
      </c>
    </row>
    <row r="1280" spans="5:10" ht="12.75" hidden="1" customHeight="1" x14ac:dyDescent="0.25">
      <c r="E1280" s="305">
        <f>SUMIF(Adjustments!A:A,A1280,Adjustments!C:C)</f>
        <v>0</v>
      </c>
      <c r="F1280" s="278">
        <f t="shared" si="19"/>
        <v>0</v>
      </c>
      <c r="G1280" s="263" t="e">
        <v>#N/A</v>
      </c>
      <c r="H1280" s="266" t="e">
        <v>#N/A</v>
      </c>
      <c r="I1280" s="267" t="e">
        <f>VLOOKUP('Trial Balance'!$A1280,'Code Allocation'!$A:$E,5,0)</f>
        <v>#N/A</v>
      </c>
      <c r="J1280" s="268" t="e">
        <f>VLOOKUP('Trial Balance'!$A1280,'Code Allocation'!$A:$F,6,0)</f>
        <v>#N/A</v>
      </c>
    </row>
    <row r="1281" spans="5:10" ht="12.75" hidden="1" customHeight="1" x14ac:dyDescent="0.25">
      <c r="E1281" s="305">
        <f>SUMIF(Adjustments!A:A,A1281,Adjustments!C:C)</f>
        <v>0</v>
      </c>
      <c r="F1281" s="278">
        <f t="shared" si="19"/>
        <v>0</v>
      </c>
      <c r="G1281" s="263" t="e">
        <v>#N/A</v>
      </c>
      <c r="H1281" s="266" t="e">
        <v>#N/A</v>
      </c>
      <c r="I1281" s="267" t="e">
        <f>VLOOKUP('Trial Balance'!$A1281,'Code Allocation'!$A:$E,5,0)</f>
        <v>#N/A</v>
      </c>
      <c r="J1281" s="268" t="e">
        <v>#N/A</v>
      </c>
    </row>
    <row r="1282" spans="5:10" ht="12.75" hidden="1" customHeight="1" x14ac:dyDescent="0.25">
      <c r="E1282" s="305">
        <f>SUMIF(Adjustments!A:A,A1282,Adjustments!C:C)</f>
        <v>0</v>
      </c>
      <c r="F1282" s="278">
        <f t="shared" si="19"/>
        <v>0</v>
      </c>
      <c r="G1282" s="263" t="e">
        <v>#N/A</v>
      </c>
      <c r="H1282" s="266" t="e">
        <v>#N/A</v>
      </c>
      <c r="I1282" s="267" t="e">
        <f>VLOOKUP('Trial Balance'!$A1282,'Code Allocation'!$A:$E,5,0)</f>
        <v>#N/A</v>
      </c>
      <c r="J1282" s="268" t="e">
        <v>#N/A</v>
      </c>
    </row>
    <row r="1283" spans="5:10" ht="12.75" hidden="1" customHeight="1" x14ac:dyDescent="0.25">
      <c r="E1283" s="305">
        <f>SUMIF(Adjustments!A:A,A1283,Adjustments!C:C)</f>
        <v>0</v>
      </c>
      <c r="F1283" s="278">
        <f t="shared" si="19"/>
        <v>0</v>
      </c>
      <c r="G1283" s="263" t="e">
        <v>#N/A</v>
      </c>
      <c r="H1283" s="266" t="e">
        <v>#N/A</v>
      </c>
      <c r="I1283" s="267" t="e">
        <f>VLOOKUP('Trial Balance'!$A1283,'Code Allocation'!$A:$E,5,0)</f>
        <v>#N/A</v>
      </c>
      <c r="J1283" s="268" t="e">
        <v>#N/A</v>
      </c>
    </row>
    <row r="1284" spans="5:10" ht="12.75" hidden="1" customHeight="1" x14ac:dyDescent="0.25">
      <c r="E1284" s="305">
        <f>SUMIF(Adjustments!A:A,A1284,Adjustments!C:C)</f>
        <v>0</v>
      </c>
      <c r="F1284" s="278">
        <f t="shared" si="19"/>
        <v>0</v>
      </c>
      <c r="G1284" s="263" t="e">
        <v>#N/A</v>
      </c>
      <c r="H1284" s="266" t="e">
        <v>#N/A</v>
      </c>
      <c r="I1284" s="267" t="e">
        <f>VLOOKUP('Trial Balance'!$A1284,'Code Allocation'!$A:$E,5,0)</f>
        <v>#N/A</v>
      </c>
      <c r="J1284" s="268" t="e">
        <v>#N/A</v>
      </c>
    </row>
    <row r="1285" spans="5:10" ht="12.75" hidden="1" customHeight="1" x14ac:dyDescent="0.25">
      <c r="E1285" s="305">
        <f>SUMIF(Adjustments!A:A,A1285,Adjustments!C:C)</f>
        <v>0</v>
      </c>
      <c r="F1285" s="278">
        <f t="shared" si="19"/>
        <v>0</v>
      </c>
      <c r="G1285" s="263" t="e">
        <v>#N/A</v>
      </c>
      <c r="H1285" s="266" t="e">
        <v>#N/A</v>
      </c>
      <c r="I1285" s="267" t="e">
        <f>VLOOKUP('Trial Balance'!$A1285,'Code Allocation'!$A:$E,5,0)</f>
        <v>#N/A</v>
      </c>
      <c r="J1285" s="268" t="e">
        <v>#N/A</v>
      </c>
    </row>
    <row r="1286" spans="5:10" ht="12.75" hidden="1" customHeight="1" x14ac:dyDescent="0.25">
      <c r="E1286" s="305">
        <f>SUMIF(Adjustments!A:A,A1286,Adjustments!C:C)</f>
        <v>0</v>
      </c>
      <c r="F1286" s="278">
        <f t="shared" si="19"/>
        <v>0</v>
      </c>
      <c r="G1286" s="263" t="e">
        <v>#N/A</v>
      </c>
      <c r="H1286" s="266" t="e">
        <v>#N/A</v>
      </c>
      <c r="I1286" s="267" t="e">
        <f>VLOOKUP('Trial Balance'!$A1286,'Code Allocation'!$A:$E,5,0)</f>
        <v>#N/A</v>
      </c>
      <c r="J1286" s="268" t="e">
        <v>#N/A</v>
      </c>
    </row>
    <row r="1287" spans="5:10" ht="12.75" hidden="1" customHeight="1" x14ac:dyDescent="0.25">
      <c r="E1287" s="305">
        <f>SUMIF(Adjustments!A:A,A1287,Adjustments!C:C)</f>
        <v>0</v>
      </c>
      <c r="F1287" s="278">
        <f t="shared" si="19"/>
        <v>0</v>
      </c>
      <c r="G1287" s="263" t="e">
        <v>#N/A</v>
      </c>
      <c r="H1287" s="266" t="e">
        <v>#N/A</v>
      </c>
      <c r="I1287" s="267" t="e">
        <f>VLOOKUP('Trial Balance'!$A1287,'Code Allocation'!$A:$E,5,0)</f>
        <v>#N/A</v>
      </c>
      <c r="J1287" s="268" t="e">
        <v>#N/A</v>
      </c>
    </row>
    <row r="1288" spans="5:10" ht="12.75" hidden="1" customHeight="1" x14ac:dyDescent="0.25">
      <c r="E1288" s="305">
        <f>SUMIF(Adjustments!A:A,A1288,Adjustments!C:C)</f>
        <v>0</v>
      </c>
      <c r="F1288" s="278">
        <f t="shared" si="19"/>
        <v>0</v>
      </c>
      <c r="G1288" s="263" t="e">
        <v>#N/A</v>
      </c>
      <c r="H1288" s="266" t="e">
        <v>#N/A</v>
      </c>
      <c r="I1288" s="267" t="e">
        <f>VLOOKUP('Trial Balance'!$A1288,'Code Allocation'!$A:$E,5,0)</f>
        <v>#N/A</v>
      </c>
      <c r="J1288" s="268" t="e">
        <v>#N/A</v>
      </c>
    </row>
    <row r="1289" spans="5:10" ht="12.75" hidden="1" customHeight="1" x14ac:dyDescent="0.25">
      <c r="E1289" s="305">
        <f>SUMIF(Adjustments!A:A,A1289,Adjustments!C:C)</f>
        <v>0</v>
      </c>
      <c r="F1289" s="278">
        <f t="shared" si="19"/>
        <v>0</v>
      </c>
      <c r="G1289" s="263" t="e">
        <v>#N/A</v>
      </c>
      <c r="H1289" s="266" t="e">
        <v>#N/A</v>
      </c>
      <c r="I1289" s="267" t="e">
        <f>VLOOKUP('Trial Balance'!$A1289,'Code Allocation'!$A:$E,5,0)</f>
        <v>#N/A</v>
      </c>
      <c r="J1289" s="268" t="e">
        <v>#N/A</v>
      </c>
    </row>
    <row r="1290" spans="5:10" ht="12.75" hidden="1" customHeight="1" x14ac:dyDescent="0.25">
      <c r="E1290" s="305" t="e">
        <v>#VALUE!</v>
      </c>
      <c r="F1290" s="278" t="e">
        <f t="shared" si="19"/>
        <v>#VALUE!</v>
      </c>
      <c r="G1290" s="263" t="e">
        <v>#N/A</v>
      </c>
      <c r="H1290" s="266" t="e">
        <v>#N/A</v>
      </c>
      <c r="I1290" s="267" t="e">
        <f>VLOOKUP('Trial Balance'!$A1290,'Code Allocation'!$A:$E,5,0)</f>
        <v>#N/A</v>
      </c>
      <c r="J1290" s="268" t="e">
        <v>#N/A</v>
      </c>
    </row>
    <row r="1291" spans="5:10" ht="12.75" hidden="1" customHeight="1" x14ac:dyDescent="0.25">
      <c r="E1291" s="305" t="e">
        <v>#VALUE!</v>
      </c>
      <c r="F1291" s="278" t="e">
        <f t="shared" si="19"/>
        <v>#VALUE!</v>
      </c>
      <c r="G1291" s="263" t="e">
        <v>#N/A</v>
      </c>
      <c r="H1291" s="266" t="e">
        <v>#N/A</v>
      </c>
      <c r="I1291" s="267" t="e">
        <f>VLOOKUP('Trial Balance'!$A1291,'Code Allocation'!$A:$E,5,0)</f>
        <v>#N/A</v>
      </c>
      <c r="J1291" s="268" t="e">
        <v>#N/A</v>
      </c>
    </row>
    <row r="1292" spans="5:10" ht="12.75" hidden="1" customHeight="1" x14ac:dyDescent="0.25">
      <c r="E1292" s="305" t="e">
        <v>#VALUE!</v>
      </c>
      <c r="F1292" s="278" t="e">
        <f t="shared" si="19"/>
        <v>#VALUE!</v>
      </c>
      <c r="G1292" s="263" t="e">
        <v>#N/A</v>
      </c>
      <c r="H1292" s="266" t="e">
        <v>#N/A</v>
      </c>
      <c r="I1292" s="267" t="e">
        <f>VLOOKUP('Trial Balance'!$A1292,'Code Allocation'!$A:$E,5,0)</f>
        <v>#N/A</v>
      </c>
      <c r="J1292" s="268" t="e">
        <v>#N/A</v>
      </c>
    </row>
    <row r="1293" spans="5:10" ht="12.75" hidden="1" customHeight="1" x14ac:dyDescent="0.25">
      <c r="E1293" s="305" t="e">
        <v>#VALUE!</v>
      </c>
      <c r="F1293" s="278" t="e">
        <f t="shared" si="19"/>
        <v>#VALUE!</v>
      </c>
      <c r="G1293" s="263" t="e">
        <v>#N/A</v>
      </c>
      <c r="H1293" s="266" t="e">
        <v>#N/A</v>
      </c>
      <c r="I1293" s="267" t="e">
        <f>VLOOKUP('Trial Balance'!$A1293,'Code Allocation'!$A:$E,5,0)</f>
        <v>#N/A</v>
      </c>
      <c r="J1293" s="268" t="e">
        <v>#N/A</v>
      </c>
    </row>
    <row r="1294" spans="5:10" ht="12.75" hidden="1" customHeight="1" x14ac:dyDescent="0.25">
      <c r="E1294" s="305" t="e">
        <v>#VALUE!</v>
      </c>
      <c r="F1294" s="278" t="e">
        <f t="shared" si="19"/>
        <v>#VALUE!</v>
      </c>
      <c r="G1294" s="263" t="e">
        <v>#N/A</v>
      </c>
      <c r="H1294" s="266" t="e">
        <v>#N/A</v>
      </c>
      <c r="I1294" s="267" t="e">
        <f>VLOOKUP('Trial Balance'!$A1294,'Code Allocation'!$A:$E,5,0)</f>
        <v>#N/A</v>
      </c>
      <c r="J1294" s="268" t="e">
        <v>#N/A</v>
      </c>
    </row>
    <row r="1295" spans="5:10" ht="12.75" hidden="1" customHeight="1" x14ac:dyDescent="0.25">
      <c r="E1295" s="305" t="e">
        <v>#VALUE!</v>
      </c>
      <c r="F1295" s="278" t="e">
        <f t="shared" si="19"/>
        <v>#VALUE!</v>
      </c>
      <c r="G1295" s="263" t="e">
        <v>#N/A</v>
      </c>
      <c r="H1295" s="266" t="e">
        <v>#N/A</v>
      </c>
      <c r="I1295" s="267" t="e">
        <f>VLOOKUP('Trial Balance'!$A1295,'Code Allocation'!$A:$E,5,0)</f>
        <v>#N/A</v>
      </c>
      <c r="J1295" s="268" t="e">
        <v>#N/A</v>
      </c>
    </row>
    <row r="1296" spans="5:10" ht="12.75" hidden="1" customHeight="1" x14ac:dyDescent="0.25">
      <c r="E1296" s="305" t="e">
        <v>#VALUE!</v>
      </c>
      <c r="F1296" s="278" t="e">
        <f t="shared" si="19"/>
        <v>#VALUE!</v>
      </c>
      <c r="G1296" s="263" t="e">
        <v>#N/A</v>
      </c>
      <c r="H1296" s="266" t="e">
        <v>#N/A</v>
      </c>
      <c r="I1296" s="267" t="e">
        <f>VLOOKUP('Trial Balance'!$A1296,'Code Allocation'!$A:$E,5,0)</f>
        <v>#N/A</v>
      </c>
      <c r="J1296" s="268" t="e">
        <v>#N/A</v>
      </c>
    </row>
    <row r="1297" spans="5:10" ht="12.75" hidden="1" customHeight="1" x14ac:dyDescent="0.25">
      <c r="E1297" s="305" t="e">
        <v>#VALUE!</v>
      </c>
      <c r="F1297" s="278" t="e">
        <f t="shared" si="19"/>
        <v>#VALUE!</v>
      </c>
      <c r="G1297" s="263" t="e">
        <v>#N/A</v>
      </c>
      <c r="H1297" s="266" t="e">
        <v>#N/A</v>
      </c>
      <c r="I1297" s="267" t="e">
        <f>VLOOKUP('Trial Balance'!$A1297,'Code Allocation'!$A:$E,5,0)</f>
        <v>#N/A</v>
      </c>
      <c r="J1297" s="268" t="e">
        <v>#N/A</v>
      </c>
    </row>
    <row r="1298" spans="5:10" ht="12.75" hidden="1" customHeight="1" x14ac:dyDescent="0.25">
      <c r="E1298" s="305" t="e">
        <v>#VALUE!</v>
      </c>
      <c r="F1298" s="278" t="e">
        <f t="shared" si="19"/>
        <v>#VALUE!</v>
      </c>
      <c r="G1298" s="263" t="e">
        <v>#N/A</v>
      </c>
      <c r="H1298" s="266" t="e">
        <v>#N/A</v>
      </c>
      <c r="I1298" s="267" t="e">
        <f>VLOOKUP('Trial Balance'!$A1298,'Code Allocation'!$A:$E,5,0)</f>
        <v>#N/A</v>
      </c>
      <c r="J1298" s="268" t="e">
        <v>#N/A</v>
      </c>
    </row>
    <row r="1299" spans="5:10" ht="12.75" hidden="1" customHeight="1" x14ac:dyDescent="0.25">
      <c r="E1299" s="305" t="e">
        <v>#VALUE!</v>
      </c>
      <c r="F1299" s="278" t="e">
        <f t="shared" si="19"/>
        <v>#VALUE!</v>
      </c>
      <c r="G1299" s="263" t="e">
        <v>#N/A</v>
      </c>
      <c r="H1299" s="266" t="e">
        <v>#N/A</v>
      </c>
      <c r="I1299" s="267" t="e">
        <f>VLOOKUP('Trial Balance'!$A1299,'Code Allocation'!$A:$E,5,0)</f>
        <v>#N/A</v>
      </c>
      <c r="J1299" s="268" t="e">
        <v>#N/A</v>
      </c>
    </row>
    <row r="1300" spans="5:10" ht="12.75" hidden="1" customHeight="1" x14ac:dyDescent="0.25">
      <c r="E1300" s="305" t="e">
        <v>#VALUE!</v>
      </c>
      <c r="F1300" s="278" t="e">
        <f t="shared" si="19"/>
        <v>#VALUE!</v>
      </c>
      <c r="G1300" s="263" t="e">
        <v>#N/A</v>
      </c>
      <c r="H1300" s="266" t="e">
        <v>#N/A</v>
      </c>
      <c r="I1300" s="267" t="e">
        <f>VLOOKUP('Trial Balance'!$A1300,'Code Allocation'!$A:$E,5,0)</f>
        <v>#N/A</v>
      </c>
      <c r="J1300" s="268" t="e">
        <v>#N/A</v>
      </c>
    </row>
    <row r="1301" spans="5:10" ht="12.75" hidden="1" customHeight="1" x14ac:dyDescent="0.25">
      <c r="E1301" s="305" t="e">
        <v>#VALUE!</v>
      </c>
      <c r="F1301" s="278" t="e">
        <f t="shared" si="19"/>
        <v>#VALUE!</v>
      </c>
      <c r="G1301" s="263" t="e">
        <v>#N/A</v>
      </c>
      <c r="H1301" s="266" t="e">
        <v>#N/A</v>
      </c>
      <c r="I1301" s="267" t="e">
        <f>VLOOKUP('Trial Balance'!$A1301,'Code Allocation'!$A:$E,5,0)</f>
        <v>#N/A</v>
      </c>
      <c r="J1301" s="268" t="e">
        <v>#N/A</v>
      </c>
    </row>
    <row r="1302" spans="5:10" ht="12.75" hidden="1" customHeight="1" x14ac:dyDescent="0.25">
      <c r="E1302" s="305" t="e">
        <v>#VALUE!</v>
      </c>
      <c r="F1302" s="278" t="e">
        <f t="shared" si="19"/>
        <v>#VALUE!</v>
      </c>
      <c r="G1302" s="263" t="e">
        <v>#N/A</v>
      </c>
      <c r="H1302" s="266" t="e">
        <v>#N/A</v>
      </c>
      <c r="I1302" s="267" t="e">
        <f>VLOOKUP('Trial Balance'!$A1302,'Code Allocation'!$A:$E,5,0)</f>
        <v>#N/A</v>
      </c>
      <c r="J1302" s="268" t="e">
        <v>#N/A</v>
      </c>
    </row>
    <row r="1303" spans="5:10" ht="12.75" hidden="1" customHeight="1" x14ac:dyDescent="0.25">
      <c r="E1303" s="305" t="e">
        <v>#VALUE!</v>
      </c>
      <c r="F1303" s="278" t="e">
        <f t="shared" si="19"/>
        <v>#VALUE!</v>
      </c>
      <c r="G1303" s="263" t="e">
        <v>#N/A</v>
      </c>
      <c r="H1303" s="266" t="e">
        <v>#N/A</v>
      </c>
      <c r="I1303" s="267" t="e">
        <f>VLOOKUP('Trial Balance'!$A1303,'Code Allocation'!$A:$E,5,0)</f>
        <v>#N/A</v>
      </c>
      <c r="J1303" s="268" t="e">
        <v>#N/A</v>
      </c>
    </row>
    <row r="1304" spans="5:10" ht="12.75" hidden="1" customHeight="1" x14ac:dyDescent="0.25">
      <c r="E1304" s="305" t="e">
        <v>#VALUE!</v>
      </c>
      <c r="F1304" s="278" t="e">
        <f t="shared" si="19"/>
        <v>#VALUE!</v>
      </c>
      <c r="G1304" s="263" t="e">
        <v>#N/A</v>
      </c>
      <c r="H1304" s="266" t="e">
        <v>#N/A</v>
      </c>
      <c r="I1304" s="267" t="e">
        <f>VLOOKUP('Trial Balance'!$A1304,'Code Allocation'!$A:$E,5,0)</f>
        <v>#N/A</v>
      </c>
      <c r="J1304" s="268" t="e">
        <v>#N/A</v>
      </c>
    </row>
    <row r="1305" spans="5:10" ht="12.75" hidden="1" customHeight="1" x14ac:dyDescent="0.25">
      <c r="E1305" s="305" t="e">
        <v>#VALUE!</v>
      </c>
      <c r="F1305" s="278" t="e">
        <f t="shared" si="19"/>
        <v>#VALUE!</v>
      </c>
      <c r="G1305" s="263" t="e">
        <v>#N/A</v>
      </c>
      <c r="H1305" s="266" t="e">
        <v>#N/A</v>
      </c>
      <c r="I1305" s="267" t="e">
        <f>VLOOKUP('Trial Balance'!$A1305,'Code Allocation'!$A:$E,5,0)</f>
        <v>#N/A</v>
      </c>
      <c r="J1305" s="268" t="e">
        <v>#N/A</v>
      </c>
    </row>
    <row r="1306" spans="5:10" ht="12.75" hidden="1" customHeight="1" x14ac:dyDescent="0.25">
      <c r="E1306" s="305" t="e">
        <v>#VALUE!</v>
      </c>
      <c r="F1306" s="278" t="e">
        <f t="shared" si="19"/>
        <v>#VALUE!</v>
      </c>
      <c r="G1306" s="263" t="e">
        <v>#N/A</v>
      </c>
      <c r="H1306" s="266" t="e">
        <v>#N/A</v>
      </c>
      <c r="I1306" s="267" t="e">
        <f>VLOOKUP('Trial Balance'!$A1306,'Code Allocation'!$A:$E,5,0)</f>
        <v>#N/A</v>
      </c>
      <c r="J1306" s="268" t="e">
        <v>#N/A</v>
      </c>
    </row>
    <row r="1307" spans="5:10" ht="12.75" hidden="1" customHeight="1" x14ac:dyDescent="0.25">
      <c r="E1307" s="305" t="e">
        <v>#VALUE!</v>
      </c>
      <c r="F1307" s="278" t="e">
        <f t="shared" si="19"/>
        <v>#VALUE!</v>
      </c>
      <c r="G1307" s="263" t="e">
        <v>#N/A</v>
      </c>
      <c r="H1307" s="266" t="e">
        <v>#N/A</v>
      </c>
      <c r="I1307" s="267" t="e">
        <f>VLOOKUP('Trial Balance'!$A1307,'Code Allocation'!$A:$E,5,0)</f>
        <v>#N/A</v>
      </c>
      <c r="J1307" s="268" t="e">
        <v>#N/A</v>
      </c>
    </row>
    <row r="1308" spans="5:10" ht="12.75" hidden="1" customHeight="1" x14ac:dyDescent="0.25">
      <c r="E1308" s="305" t="e">
        <v>#VALUE!</v>
      </c>
      <c r="F1308" s="278" t="e">
        <f t="shared" si="19"/>
        <v>#VALUE!</v>
      </c>
      <c r="G1308" s="263" t="e">
        <v>#N/A</v>
      </c>
      <c r="H1308" s="266" t="e">
        <v>#N/A</v>
      </c>
      <c r="I1308" s="267" t="e">
        <f>VLOOKUP('Trial Balance'!$A1308,'Code Allocation'!$A:$E,5,0)</f>
        <v>#N/A</v>
      </c>
      <c r="J1308" s="268" t="e">
        <v>#N/A</v>
      </c>
    </row>
    <row r="1309" spans="5:10" ht="12.75" hidden="1" customHeight="1" x14ac:dyDescent="0.25">
      <c r="E1309" s="305" t="e">
        <v>#VALUE!</v>
      </c>
      <c r="F1309" s="278" t="e">
        <f t="shared" si="19"/>
        <v>#VALUE!</v>
      </c>
      <c r="G1309" s="263" t="e">
        <v>#N/A</v>
      </c>
      <c r="H1309" s="266" t="e">
        <v>#N/A</v>
      </c>
      <c r="I1309" s="267" t="e">
        <f>VLOOKUP('Trial Balance'!$A1309,'Code Allocation'!$A:$E,5,0)</f>
        <v>#N/A</v>
      </c>
      <c r="J1309" s="268" t="e">
        <v>#N/A</v>
      </c>
    </row>
    <row r="1310" spans="5:10" ht="12.75" hidden="1" customHeight="1" x14ac:dyDescent="0.25">
      <c r="E1310" s="305" t="e">
        <v>#VALUE!</v>
      </c>
      <c r="F1310" s="278" t="e">
        <f t="shared" si="19"/>
        <v>#VALUE!</v>
      </c>
      <c r="G1310" s="263" t="e">
        <v>#N/A</v>
      </c>
      <c r="H1310" s="266" t="e">
        <v>#N/A</v>
      </c>
      <c r="I1310" s="267" t="e">
        <f>VLOOKUP('Trial Balance'!$A1310,'Code Allocation'!$A:$E,5,0)</f>
        <v>#N/A</v>
      </c>
      <c r="J1310" s="268" t="e">
        <v>#N/A</v>
      </c>
    </row>
    <row r="1311" spans="5:10" ht="12.75" hidden="1" customHeight="1" x14ac:dyDescent="0.25">
      <c r="E1311" s="305" t="e">
        <v>#VALUE!</v>
      </c>
      <c r="F1311" s="278" t="e">
        <f t="shared" si="19"/>
        <v>#VALUE!</v>
      </c>
      <c r="G1311" s="263" t="e">
        <v>#N/A</v>
      </c>
      <c r="H1311" s="266" t="e">
        <v>#N/A</v>
      </c>
      <c r="I1311" s="267" t="e">
        <v>#N/A</v>
      </c>
      <c r="J1311" s="268" t="e">
        <v>#N/A</v>
      </c>
    </row>
    <row r="1312" spans="5:10" ht="12.75" hidden="1" customHeight="1" x14ac:dyDescent="0.25">
      <c r="E1312" s="305" t="e">
        <v>#VALUE!</v>
      </c>
      <c r="F1312" s="278" t="e">
        <f t="shared" si="19"/>
        <v>#VALUE!</v>
      </c>
      <c r="G1312" s="263" t="e">
        <v>#N/A</v>
      </c>
      <c r="H1312" s="266" t="e">
        <v>#N/A</v>
      </c>
      <c r="I1312" s="267" t="e">
        <v>#N/A</v>
      </c>
      <c r="J1312" s="268" t="e">
        <v>#N/A</v>
      </c>
    </row>
    <row r="1313" spans="5:10" ht="12.75" hidden="1" customHeight="1" x14ac:dyDescent="0.25">
      <c r="E1313" s="305" t="e">
        <v>#VALUE!</v>
      </c>
      <c r="F1313" s="278" t="e">
        <f t="shared" si="19"/>
        <v>#VALUE!</v>
      </c>
      <c r="G1313" s="263" t="e">
        <v>#N/A</v>
      </c>
      <c r="H1313" s="266" t="e">
        <v>#N/A</v>
      </c>
      <c r="I1313" s="267" t="e">
        <v>#N/A</v>
      </c>
      <c r="J1313" s="268" t="e">
        <v>#N/A</v>
      </c>
    </row>
    <row r="1314" spans="5:10" ht="12.75" hidden="1" customHeight="1" x14ac:dyDescent="0.25">
      <c r="E1314" s="305" t="e">
        <v>#VALUE!</v>
      </c>
      <c r="F1314" s="278" t="e">
        <f t="shared" si="19"/>
        <v>#VALUE!</v>
      </c>
      <c r="G1314" s="263" t="e">
        <v>#N/A</v>
      </c>
      <c r="H1314" s="266" t="e">
        <v>#N/A</v>
      </c>
      <c r="I1314" s="267" t="e">
        <v>#N/A</v>
      </c>
      <c r="J1314" s="268" t="e">
        <v>#N/A</v>
      </c>
    </row>
    <row r="1315" spans="5:10" ht="12.75" hidden="1" customHeight="1" x14ac:dyDescent="0.25">
      <c r="E1315" s="305" t="e">
        <v>#VALUE!</v>
      </c>
      <c r="F1315" s="278" t="e">
        <f t="shared" si="19"/>
        <v>#VALUE!</v>
      </c>
      <c r="G1315" s="263" t="e">
        <v>#N/A</v>
      </c>
      <c r="H1315" s="266" t="e">
        <v>#N/A</v>
      </c>
      <c r="I1315" s="267" t="e">
        <v>#N/A</v>
      </c>
      <c r="J1315" s="268" t="e">
        <v>#N/A</v>
      </c>
    </row>
    <row r="1316" spans="5:10" ht="12.75" hidden="1" customHeight="1" x14ac:dyDescent="0.25">
      <c r="E1316" s="305" t="e">
        <v>#VALUE!</v>
      </c>
      <c r="F1316" s="278" t="e">
        <f t="shared" si="19"/>
        <v>#VALUE!</v>
      </c>
      <c r="G1316" s="263" t="e">
        <v>#N/A</v>
      </c>
      <c r="H1316" s="266" t="e">
        <v>#N/A</v>
      </c>
      <c r="I1316" s="267" t="e">
        <v>#N/A</v>
      </c>
      <c r="J1316" s="268" t="e">
        <v>#N/A</v>
      </c>
    </row>
    <row r="1317" spans="5:10" ht="12.75" hidden="1" customHeight="1" x14ac:dyDescent="0.25">
      <c r="E1317" s="305" t="e">
        <v>#VALUE!</v>
      </c>
      <c r="F1317" s="278" t="e">
        <f t="shared" si="19"/>
        <v>#VALUE!</v>
      </c>
      <c r="G1317" s="263" t="e">
        <v>#N/A</v>
      </c>
      <c r="H1317" s="266" t="e">
        <v>#N/A</v>
      </c>
      <c r="I1317" s="267" t="e">
        <v>#N/A</v>
      </c>
      <c r="J1317" s="268" t="e">
        <v>#N/A</v>
      </c>
    </row>
    <row r="1318" spans="5:10" ht="12.75" hidden="1" customHeight="1" x14ac:dyDescent="0.25">
      <c r="E1318" s="305" t="e">
        <v>#VALUE!</v>
      </c>
      <c r="F1318" s="278" t="e">
        <f t="shared" si="19"/>
        <v>#VALUE!</v>
      </c>
      <c r="G1318" s="263" t="e">
        <v>#N/A</v>
      </c>
      <c r="H1318" s="266" t="e">
        <v>#N/A</v>
      </c>
      <c r="I1318" s="267" t="e">
        <v>#N/A</v>
      </c>
      <c r="J1318" s="268" t="e">
        <v>#N/A</v>
      </c>
    </row>
    <row r="1319" spans="5:10" ht="12.75" hidden="1" customHeight="1" x14ac:dyDescent="0.25">
      <c r="E1319" s="305" t="e">
        <v>#VALUE!</v>
      </c>
      <c r="F1319" s="278" t="e">
        <f t="shared" si="19"/>
        <v>#VALUE!</v>
      </c>
      <c r="G1319" s="263" t="e">
        <v>#N/A</v>
      </c>
      <c r="H1319" s="266" t="e">
        <v>#N/A</v>
      </c>
      <c r="I1319" s="267" t="e">
        <v>#N/A</v>
      </c>
      <c r="J1319" s="268" t="e">
        <v>#N/A</v>
      </c>
    </row>
    <row r="1320" spans="5:10" ht="12.75" hidden="1" customHeight="1" x14ac:dyDescent="0.25">
      <c r="E1320" s="305" t="e">
        <v>#VALUE!</v>
      </c>
      <c r="F1320" s="278" t="e">
        <f t="shared" si="19"/>
        <v>#VALUE!</v>
      </c>
      <c r="G1320" s="263" t="e">
        <v>#N/A</v>
      </c>
      <c r="H1320" s="266" t="e">
        <v>#N/A</v>
      </c>
      <c r="I1320" s="267" t="e">
        <v>#N/A</v>
      </c>
      <c r="J1320" s="268" t="e">
        <v>#N/A</v>
      </c>
    </row>
    <row r="1321" spans="5:10" ht="12.75" hidden="1" customHeight="1" x14ac:dyDescent="0.25">
      <c r="E1321" s="305" t="e">
        <v>#VALUE!</v>
      </c>
      <c r="F1321" s="278" t="e">
        <f t="shared" si="19"/>
        <v>#VALUE!</v>
      </c>
      <c r="G1321" s="263" t="e">
        <v>#N/A</v>
      </c>
      <c r="H1321" s="266" t="e">
        <v>#N/A</v>
      </c>
      <c r="I1321" s="267" t="e">
        <v>#N/A</v>
      </c>
      <c r="J1321" s="268" t="e">
        <v>#N/A</v>
      </c>
    </row>
    <row r="1322" spans="5:10" ht="12.75" hidden="1" customHeight="1" x14ac:dyDescent="0.25">
      <c r="E1322" s="305" t="e">
        <v>#VALUE!</v>
      </c>
      <c r="F1322" s="278" t="e">
        <f t="shared" si="19"/>
        <v>#VALUE!</v>
      </c>
      <c r="G1322" s="263" t="e">
        <v>#N/A</v>
      </c>
      <c r="H1322" s="266" t="e">
        <v>#N/A</v>
      </c>
      <c r="I1322" s="267" t="e">
        <v>#N/A</v>
      </c>
      <c r="J1322" s="268" t="e">
        <v>#N/A</v>
      </c>
    </row>
    <row r="1323" spans="5:10" ht="12.75" hidden="1" customHeight="1" x14ac:dyDescent="0.25">
      <c r="E1323" s="305" t="e">
        <v>#VALUE!</v>
      </c>
      <c r="F1323" s="278" t="e">
        <f t="shared" si="19"/>
        <v>#VALUE!</v>
      </c>
      <c r="G1323" s="263" t="e">
        <v>#N/A</v>
      </c>
      <c r="H1323" s="266" t="e">
        <v>#N/A</v>
      </c>
      <c r="I1323" s="267" t="e">
        <v>#N/A</v>
      </c>
      <c r="J1323" s="268" t="e">
        <v>#N/A</v>
      </c>
    </row>
    <row r="1324" spans="5:10" ht="12.75" hidden="1" customHeight="1" x14ac:dyDescent="0.25">
      <c r="E1324" s="305" t="e">
        <v>#VALUE!</v>
      </c>
      <c r="F1324" s="278" t="e">
        <f t="shared" ref="F1324:F1387" si="20">C1324-D1324+E1324</f>
        <v>#VALUE!</v>
      </c>
      <c r="G1324" s="263" t="e">
        <v>#N/A</v>
      </c>
      <c r="H1324" s="266" t="e">
        <v>#N/A</v>
      </c>
      <c r="I1324" s="267" t="e">
        <v>#N/A</v>
      </c>
      <c r="J1324" s="268" t="e">
        <v>#N/A</v>
      </c>
    </row>
    <row r="1325" spans="5:10" ht="12.75" hidden="1" customHeight="1" x14ac:dyDescent="0.25">
      <c r="E1325" s="305" t="e">
        <v>#VALUE!</v>
      </c>
      <c r="F1325" s="278" t="e">
        <f t="shared" si="20"/>
        <v>#VALUE!</v>
      </c>
      <c r="G1325" s="263" t="e">
        <v>#N/A</v>
      </c>
      <c r="H1325" s="266" t="e">
        <v>#N/A</v>
      </c>
      <c r="I1325" s="267" t="e">
        <v>#N/A</v>
      </c>
      <c r="J1325" s="268" t="e">
        <v>#N/A</v>
      </c>
    </row>
    <row r="1326" spans="5:10" ht="12.75" hidden="1" customHeight="1" x14ac:dyDescent="0.25">
      <c r="E1326" s="305" t="e">
        <v>#VALUE!</v>
      </c>
      <c r="F1326" s="278" t="e">
        <f t="shared" si="20"/>
        <v>#VALUE!</v>
      </c>
      <c r="G1326" s="263" t="e">
        <v>#N/A</v>
      </c>
      <c r="H1326" s="266" t="e">
        <v>#N/A</v>
      </c>
      <c r="I1326" s="267" t="e">
        <v>#N/A</v>
      </c>
      <c r="J1326" s="268" t="e">
        <v>#N/A</v>
      </c>
    </row>
    <row r="1327" spans="5:10" ht="12.75" hidden="1" customHeight="1" x14ac:dyDescent="0.25">
      <c r="E1327" s="305" t="e">
        <v>#VALUE!</v>
      </c>
      <c r="F1327" s="278" t="e">
        <f t="shared" si="20"/>
        <v>#VALUE!</v>
      </c>
      <c r="G1327" s="263" t="e">
        <v>#N/A</v>
      </c>
      <c r="H1327" s="266" t="e">
        <v>#N/A</v>
      </c>
      <c r="I1327" s="267" t="e">
        <v>#N/A</v>
      </c>
      <c r="J1327" s="268" t="e">
        <v>#N/A</v>
      </c>
    </row>
    <row r="1328" spans="5:10" ht="12.75" hidden="1" customHeight="1" x14ac:dyDescent="0.25">
      <c r="E1328" s="305" t="e">
        <v>#VALUE!</v>
      </c>
      <c r="F1328" s="278" t="e">
        <f t="shared" si="20"/>
        <v>#VALUE!</v>
      </c>
      <c r="G1328" s="263" t="e">
        <v>#N/A</v>
      </c>
      <c r="H1328" s="266" t="e">
        <v>#N/A</v>
      </c>
      <c r="I1328" s="267" t="e">
        <v>#N/A</v>
      </c>
      <c r="J1328" s="268" t="e">
        <v>#N/A</v>
      </c>
    </row>
    <row r="1329" spans="5:10" ht="12.75" hidden="1" customHeight="1" x14ac:dyDescent="0.25">
      <c r="E1329" s="305" t="e">
        <v>#VALUE!</v>
      </c>
      <c r="F1329" s="278" t="e">
        <f t="shared" si="20"/>
        <v>#VALUE!</v>
      </c>
      <c r="G1329" s="263" t="e">
        <v>#N/A</v>
      </c>
      <c r="H1329" s="266" t="e">
        <v>#N/A</v>
      </c>
      <c r="I1329" s="267" t="e">
        <v>#N/A</v>
      </c>
      <c r="J1329" s="268" t="e">
        <v>#N/A</v>
      </c>
    </row>
    <row r="1330" spans="5:10" ht="12.75" hidden="1" customHeight="1" x14ac:dyDescent="0.25">
      <c r="E1330" s="305" t="e">
        <v>#VALUE!</v>
      </c>
      <c r="F1330" s="278" t="e">
        <f t="shared" si="20"/>
        <v>#VALUE!</v>
      </c>
      <c r="G1330" s="263" t="e">
        <v>#N/A</v>
      </c>
      <c r="H1330" s="266" t="e">
        <v>#N/A</v>
      </c>
      <c r="I1330" s="267" t="e">
        <v>#N/A</v>
      </c>
      <c r="J1330" s="268" t="e">
        <v>#N/A</v>
      </c>
    </row>
    <row r="1331" spans="5:10" ht="12.75" hidden="1" customHeight="1" x14ac:dyDescent="0.25">
      <c r="E1331" s="305" t="e">
        <v>#VALUE!</v>
      </c>
      <c r="F1331" s="278" t="e">
        <f t="shared" si="20"/>
        <v>#VALUE!</v>
      </c>
      <c r="G1331" s="263" t="e">
        <v>#N/A</v>
      </c>
      <c r="H1331" s="266" t="e">
        <v>#N/A</v>
      </c>
      <c r="I1331" s="267" t="e">
        <v>#N/A</v>
      </c>
      <c r="J1331" s="268" t="e">
        <v>#N/A</v>
      </c>
    </row>
    <row r="1332" spans="5:10" ht="12.75" hidden="1" customHeight="1" x14ac:dyDescent="0.25">
      <c r="E1332" s="305" t="e">
        <v>#VALUE!</v>
      </c>
      <c r="F1332" s="278" t="e">
        <f t="shared" si="20"/>
        <v>#VALUE!</v>
      </c>
      <c r="G1332" s="263" t="e">
        <v>#N/A</v>
      </c>
      <c r="H1332" s="266" t="e">
        <v>#N/A</v>
      </c>
      <c r="I1332" s="267" t="e">
        <v>#N/A</v>
      </c>
      <c r="J1332" s="268" t="e">
        <v>#N/A</v>
      </c>
    </row>
    <row r="1333" spans="5:10" ht="12.75" hidden="1" customHeight="1" x14ac:dyDescent="0.25">
      <c r="E1333" s="305" t="e">
        <v>#VALUE!</v>
      </c>
      <c r="F1333" s="278" t="e">
        <f t="shared" si="20"/>
        <v>#VALUE!</v>
      </c>
      <c r="G1333" s="263" t="e">
        <v>#N/A</v>
      </c>
      <c r="H1333" s="266" t="e">
        <v>#N/A</v>
      </c>
      <c r="I1333" s="267" t="e">
        <v>#N/A</v>
      </c>
      <c r="J1333" s="268" t="e">
        <v>#N/A</v>
      </c>
    </row>
    <row r="1334" spans="5:10" ht="12.75" hidden="1" customHeight="1" x14ac:dyDescent="0.25">
      <c r="E1334" s="305" t="e">
        <v>#VALUE!</v>
      </c>
      <c r="F1334" s="278" t="e">
        <f t="shared" si="20"/>
        <v>#VALUE!</v>
      </c>
      <c r="G1334" s="263" t="e">
        <v>#N/A</v>
      </c>
      <c r="H1334" s="266" t="e">
        <v>#N/A</v>
      </c>
      <c r="I1334" s="267" t="e">
        <v>#N/A</v>
      </c>
      <c r="J1334" s="268" t="e">
        <v>#N/A</v>
      </c>
    </row>
    <row r="1335" spans="5:10" ht="12.75" hidden="1" customHeight="1" x14ac:dyDescent="0.25">
      <c r="E1335" s="305" t="e">
        <v>#VALUE!</v>
      </c>
      <c r="F1335" s="278" t="e">
        <f t="shared" si="20"/>
        <v>#VALUE!</v>
      </c>
      <c r="G1335" s="263" t="e">
        <v>#N/A</v>
      </c>
      <c r="H1335" s="266" t="e">
        <v>#N/A</v>
      </c>
      <c r="I1335" s="267" t="e">
        <v>#N/A</v>
      </c>
      <c r="J1335" s="268" t="e">
        <v>#N/A</v>
      </c>
    </row>
    <row r="1336" spans="5:10" ht="12.75" hidden="1" customHeight="1" x14ac:dyDescent="0.25">
      <c r="E1336" s="305" t="e">
        <v>#VALUE!</v>
      </c>
      <c r="F1336" s="278" t="e">
        <f t="shared" si="20"/>
        <v>#VALUE!</v>
      </c>
      <c r="G1336" s="263" t="e">
        <v>#N/A</v>
      </c>
      <c r="H1336" s="266" t="e">
        <v>#N/A</v>
      </c>
      <c r="I1336" s="267" t="e">
        <v>#N/A</v>
      </c>
      <c r="J1336" s="268" t="e">
        <v>#N/A</v>
      </c>
    </row>
    <row r="1337" spans="5:10" ht="12.75" hidden="1" customHeight="1" x14ac:dyDescent="0.25">
      <c r="E1337" s="305" t="e">
        <v>#VALUE!</v>
      </c>
      <c r="F1337" s="278" t="e">
        <f t="shared" si="20"/>
        <v>#VALUE!</v>
      </c>
      <c r="G1337" s="263" t="e">
        <v>#N/A</v>
      </c>
      <c r="H1337" s="266" t="e">
        <v>#N/A</v>
      </c>
      <c r="I1337" s="267" t="e">
        <v>#N/A</v>
      </c>
      <c r="J1337" s="268" t="e">
        <v>#N/A</v>
      </c>
    </row>
    <row r="1338" spans="5:10" ht="12.75" hidden="1" customHeight="1" x14ac:dyDescent="0.25">
      <c r="E1338" s="305" t="e">
        <v>#VALUE!</v>
      </c>
      <c r="F1338" s="278" t="e">
        <f t="shared" si="20"/>
        <v>#VALUE!</v>
      </c>
      <c r="G1338" s="263" t="e">
        <v>#N/A</v>
      </c>
      <c r="H1338" s="266" t="e">
        <v>#N/A</v>
      </c>
      <c r="I1338" s="267" t="e">
        <v>#N/A</v>
      </c>
      <c r="J1338" s="268" t="e">
        <v>#N/A</v>
      </c>
    </row>
    <row r="1339" spans="5:10" ht="12.75" hidden="1" customHeight="1" x14ac:dyDescent="0.25">
      <c r="E1339" s="305" t="e">
        <v>#VALUE!</v>
      </c>
      <c r="F1339" s="278" t="e">
        <f t="shared" si="20"/>
        <v>#VALUE!</v>
      </c>
      <c r="G1339" s="263" t="e">
        <v>#N/A</v>
      </c>
      <c r="H1339" s="266" t="e">
        <v>#N/A</v>
      </c>
      <c r="I1339" s="267" t="e">
        <v>#N/A</v>
      </c>
      <c r="J1339" s="268" t="e">
        <v>#N/A</v>
      </c>
    </row>
    <row r="1340" spans="5:10" ht="12.75" hidden="1" customHeight="1" x14ac:dyDescent="0.25">
      <c r="E1340" s="305" t="e">
        <v>#VALUE!</v>
      </c>
      <c r="F1340" s="278" t="e">
        <f t="shared" si="20"/>
        <v>#VALUE!</v>
      </c>
      <c r="G1340" s="263" t="e">
        <v>#N/A</v>
      </c>
      <c r="H1340" s="266" t="e">
        <v>#N/A</v>
      </c>
      <c r="I1340" s="267" t="e">
        <v>#N/A</v>
      </c>
      <c r="J1340" s="268" t="e">
        <v>#N/A</v>
      </c>
    </row>
    <row r="1341" spans="5:10" ht="12.75" hidden="1" customHeight="1" x14ac:dyDescent="0.25">
      <c r="E1341" s="305" t="e">
        <v>#VALUE!</v>
      </c>
      <c r="F1341" s="278" t="e">
        <f t="shared" si="20"/>
        <v>#VALUE!</v>
      </c>
      <c r="G1341" s="263" t="e">
        <v>#N/A</v>
      </c>
      <c r="H1341" s="266" t="e">
        <v>#N/A</v>
      </c>
      <c r="I1341" s="267" t="e">
        <v>#N/A</v>
      </c>
      <c r="J1341" s="268" t="e">
        <v>#N/A</v>
      </c>
    </row>
    <row r="1342" spans="5:10" ht="12.75" hidden="1" customHeight="1" x14ac:dyDescent="0.25">
      <c r="E1342" s="305" t="e">
        <v>#VALUE!</v>
      </c>
      <c r="F1342" s="278" t="e">
        <f t="shared" si="20"/>
        <v>#VALUE!</v>
      </c>
      <c r="G1342" s="263" t="e">
        <v>#N/A</v>
      </c>
      <c r="H1342" s="266" t="e">
        <v>#N/A</v>
      </c>
      <c r="I1342" s="267" t="e">
        <v>#N/A</v>
      </c>
      <c r="J1342" s="268" t="e">
        <v>#N/A</v>
      </c>
    </row>
    <row r="1343" spans="5:10" ht="12.75" hidden="1" customHeight="1" x14ac:dyDescent="0.25">
      <c r="E1343" s="305" t="e">
        <v>#VALUE!</v>
      </c>
      <c r="F1343" s="278" t="e">
        <f t="shared" si="20"/>
        <v>#VALUE!</v>
      </c>
      <c r="G1343" s="263" t="e">
        <v>#N/A</v>
      </c>
      <c r="H1343" s="266" t="e">
        <v>#N/A</v>
      </c>
      <c r="I1343" s="267" t="e">
        <v>#N/A</v>
      </c>
      <c r="J1343" s="268" t="e">
        <v>#N/A</v>
      </c>
    </row>
    <row r="1344" spans="5:10" ht="12.75" hidden="1" customHeight="1" x14ac:dyDescent="0.25">
      <c r="E1344" s="305" t="e">
        <v>#VALUE!</v>
      </c>
      <c r="F1344" s="278" t="e">
        <f t="shared" si="20"/>
        <v>#VALUE!</v>
      </c>
      <c r="G1344" s="263" t="e">
        <v>#N/A</v>
      </c>
      <c r="H1344" s="266" t="e">
        <v>#N/A</v>
      </c>
      <c r="I1344" s="267" t="e">
        <v>#N/A</v>
      </c>
      <c r="J1344" s="268" t="e">
        <v>#N/A</v>
      </c>
    </row>
    <row r="1345" spans="5:10" ht="12.75" hidden="1" customHeight="1" x14ac:dyDescent="0.25">
      <c r="E1345" s="305" t="e">
        <v>#VALUE!</v>
      </c>
      <c r="F1345" s="278" t="e">
        <f t="shared" si="20"/>
        <v>#VALUE!</v>
      </c>
      <c r="G1345" s="263" t="e">
        <v>#N/A</v>
      </c>
      <c r="H1345" s="266" t="e">
        <v>#N/A</v>
      </c>
      <c r="I1345" s="267" t="e">
        <v>#N/A</v>
      </c>
      <c r="J1345" s="268" t="e">
        <v>#N/A</v>
      </c>
    </row>
    <row r="1346" spans="5:10" ht="12.75" hidden="1" customHeight="1" x14ac:dyDescent="0.25">
      <c r="E1346" s="305" t="e">
        <v>#VALUE!</v>
      </c>
      <c r="F1346" s="278" t="e">
        <f t="shared" si="20"/>
        <v>#VALUE!</v>
      </c>
      <c r="G1346" s="263" t="e">
        <v>#N/A</v>
      </c>
      <c r="H1346" s="266" t="e">
        <v>#N/A</v>
      </c>
      <c r="I1346" s="267" t="e">
        <v>#N/A</v>
      </c>
      <c r="J1346" s="268" t="e">
        <v>#N/A</v>
      </c>
    </row>
    <row r="1347" spans="5:10" ht="12.75" hidden="1" customHeight="1" x14ac:dyDescent="0.25">
      <c r="E1347" s="305" t="e">
        <v>#VALUE!</v>
      </c>
      <c r="F1347" s="278" t="e">
        <f t="shared" si="20"/>
        <v>#VALUE!</v>
      </c>
      <c r="G1347" s="263" t="e">
        <v>#N/A</v>
      </c>
      <c r="H1347" s="266" t="e">
        <v>#N/A</v>
      </c>
      <c r="I1347" s="267" t="e">
        <v>#N/A</v>
      </c>
      <c r="J1347" s="268" t="e">
        <v>#N/A</v>
      </c>
    </row>
    <row r="1348" spans="5:10" ht="12.75" hidden="1" customHeight="1" x14ac:dyDescent="0.25">
      <c r="E1348" s="305" t="e">
        <v>#VALUE!</v>
      </c>
      <c r="F1348" s="278" t="e">
        <f t="shared" si="20"/>
        <v>#VALUE!</v>
      </c>
      <c r="G1348" s="263" t="e">
        <v>#N/A</v>
      </c>
      <c r="H1348" s="266" t="e">
        <v>#N/A</v>
      </c>
      <c r="I1348" s="267" t="e">
        <v>#N/A</v>
      </c>
      <c r="J1348" s="268" t="e">
        <v>#N/A</v>
      </c>
    </row>
    <row r="1349" spans="5:10" ht="12.75" hidden="1" customHeight="1" x14ac:dyDescent="0.25">
      <c r="E1349" s="305" t="e">
        <v>#VALUE!</v>
      </c>
      <c r="F1349" s="278" t="e">
        <f t="shared" si="20"/>
        <v>#VALUE!</v>
      </c>
      <c r="G1349" s="263" t="e">
        <v>#N/A</v>
      </c>
      <c r="H1349" s="266" t="e">
        <v>#N/A</v>
      </c>
      <c r="I1349" s="267" t="e">
        <v>#N/A</v>
      </c>
      <c r="J1349" s="268" t="e">
        <v>#N/A</v>
      </c>
    </row>
    <row r="1350" spans="5:10" ht="12.75" hidden="1" customHeight="1" x14ac:dyDescent="0.25">
      <c r="E1350" s="305" t="e">
        <v>#VALUE!</v>
      </c>
      <c r="F1350" s="278" t="e">
        <f t="shared" si="20"/>
        <v>#VALUE!</v>
      </c>
      <c r="G1350" s="263" t="e">
        <v>#N/A</v>
      </c>
      <c r="H1350" s="266" t="e">
        <v>#N/A</v>
      </c>
      <c r="I1350" s="267" t="e">
        <v>#N/A</v>
      </c>
      <c r="J1350" s="268" t="e">
        <v>#N/A</v>
      </c>
    </row>
    <row r="1351" spans="5:10" ht="12.75" hidden="1" customHeight="1" x14ac:dyDescent="0.25">
      <c r="E1351" s="305" t="e">
        <v>#VALUE!</v>
      </c>
      <c r="F1351" s="278" t="e">
        <f t="shared" si="20"/>
        <v>#VALUE!</v>
      </c>
      <c r="G1351" s="263" t="e">
        <v>#N/A</v>
      </c>
      <c r="H1351" s="266" t="e">
        <v>#N/A</v>
      </c>
      <c r="I1351" s="267" t="e">
        <v>#N/A</v>
      </c>
      <c r="J1351" s="268" t="e">
        <v>#N/A</v>
      </c>
    </row>
    <row r="1352" spans="5:10" ht="12.75" hidden="1" customHeight="1" x14ac:dyDescent="0.25">
      <c r="E1352" s="305" t="e">
        <v>#VALUE!</v>
      </c>
      <c r="F1352" s="278" t="e">
        <f t="shared" si="20"/>
        <v>#VALUE!</v>
      </c>
      <c r="G1352" s="263" t="e">
        <v>#N/A</v>
      </c>
      <c r="H1352" s="266" t="e">
        <v>#N/A</v>
      </c>
      <c r="I1352" s="267" t="e">
        <v>#N/A</v>
      </c>
      <c r="J1352" s="268" t="e">
        <v>#N/A</v>
      </c>
    </row>
    <row r="1353" spans="5:10" ht="12.75" hidden="1" customHeight="1" x14ac:dyDescent="0.25">
      <c r="E1353" s="305" t="e">
        <v>#VALUE!</v>
      </c>
      <c r="F1353" s="278" t="e">
        <f t="shared" si="20"/>
        <v>#VALUE!</v>
      </c>
      <c r="G1353" s="263" t="e">
        <v>#N/A</v>
      </c>
      <c r="H1353" s="266" t="e">
        <v>#N/A</v>
      </c>
      <c r="I1353" s="267" t="e">
        <v>#N/A</v>
      </c>
      <c r="J1353" s="268" t="e">
        <v>#N/A</v>
      </c>
    </row>
    <row r="1354" spans="5:10" ht="12.75" hidden="1" customHeight="1" x14ac:dyDescent="0.25">
      <c r="E1354" s="305" t="e">
        <v>#VALUE!</v>
      </c>
      <c r="F1354" s="278" t="e">
        <f t="shared" si="20"/>
        <v>#VALUE!</v>
      </c>
      <c r="G1354" s="263" t="e">
        <v>#N/A</v>
      </c>
      <c r="H1354" s="266" t="e">
        <v>#N/A</v>
      </c>
      <c r="I1354" s="267" t="e">
        <v>#N/A</v>
      </c>
      <c r="J1354" s="268" t="e">
        <v>#N/A</v>
      </c>
    </row>
    <row r="1355" spans="5:10" ht="12.75" hidden="1" customHeight="1" x14ac:dyDescent="0.25">
      <c r="E1355" s="305" t="e">
        <v>#VALUE!</v>
      </c>
      <c r="F1355" s="278" t="e">
        <f t="shared" si="20"/>
        <v>#VALUE!</v>
      </c>
      <c r="G1355" s="263" t="e">
        <v>#N/A</v>
      </c>
      <c r="H1355" s="266" t="e">
        <v>#N/A</v>
      </c>
      <c r="I1355" s="267" t="e">
        <v>#N/A</v>
      </c>
      <c r="J1355" s="268" t="e">
        <v>#N/A</v>
      </c>
    </row>
    <row r="1356" spans="5:10" ht="12.75" hidden="1" customHeight="1" x14ac:dyDescent="0.25">
      <c r="E1356" s="305" t="e">
        <v>#VALUE!</v>
      </c>
      <c r="F1356" s="278" t="e">
        <f t="shared" si="20"/>
        <v>#VALUE!</v>
      </c>
      <c r="G1356" s="263" t="e">
        <v>#N/A</v>
      </c>
      <c r="H1356" s="266" t="e">
        <v>#N/A</v>
      </c>
      <c r="I1356" s="267" t="e">
        <v>#N/A</v>
      </c>
      <c r="J1356" s="268" t="e">
        <v>#N/A</v>
      </c>
    </row>
    <row r="1357" spans="5:10" ht="12.75" hidden="1" customHeight="1" x14ac:dyDescent="0.25">
      <c r="E1357" s="305" t="e">
        <v>#VALUE!</v>
      </c>
      <c r="F1357" s="278" t="e">
        <f t="shared" si="20"/>
        <v>#VALUE!</v>
      </c>
      <c r="G1357" s="263" t="e">
        <v>#N/A</v>
      </c>
      <c r="H1357" s="266" t="e">
        <v>#N/A</v>
      </c>
      <c r="I1357" s="267" t="e">
        <v>#N/A</v>
      </c>
      <c r="J1357" s="268" t="e">
        <v>#N/A</v>
      </c>
    </row>
    <row r="1358" spans="5:10" ht="12.75" hidden="1" customHeight="1" x14ac:dyDescent="0.25">
      <c r="E1358" s="305" t="e">
        <v>#VALUE!</v>
      </c>
      <c r="F1358" s="278" t="e">
        <f t="shared" si="20"/>
        <v>#VALUE!</v>
      </c>
      <c r="G1358" s="263" t="e">
        <v>#N/A</v>
      </c>
      <c r="H1358" s="266" t="e">
        <v>#N/A</v>
      </c>
      <c r="I1358" s="267" t="e">
        <v>#N/A</v>
      </c>
      <c r="J1358" s="268" t="e">
        <v>#N/A</v>
      </c>
    </row>
    <row r="1359" spans="5:10" ht="12.75" hidden="1" customHeight="1" x14ac:dyDescent="0.25">
      <c r="E1359" s="305" t="e">
        <v>#VALUE!</v>
      </c>
      <c r="F1359" s="278" t="e">
        <f t="shared" si="20"/>
        <v>#VALUE!</v>
      </c>
      <c r="G1359" s="263" t="e">
        <v>#N/A</v>
      </c>
      <c r="H1359" s="266" t="e">
        <v>#N/A</v>
      </c>
      <c r="I1359" s="267" t="e">
        <v>#N/A</v>
      </c>
      <c r="J1359" s="268" t="e">
        <v>#N/A</v>
      </c>
    </row>
    <row r="1360" spans="5:10" ht="12.75" hidden="1" customHeight="1" x14ac:dyDescent="0.25">
      <c r="E1360" s="305" t="e">
        <v>#VALUE!</v>
      </c>
      <c r="F1360" s="278" t="e">
        <f t="shared" si="20"/>
        <v>#VALUE!</v>
      </c>
      <c r="G1360" s="263" t="e">
        <v>#N/A</v>
      </c>
      <c r="H1360" s="266" t="e">
        <v>#N/A</v>
      </c>
      <c r="I1360" s="267" t="e">
        <v>#N/A</v>
      </c>
      <c r="J1360" s="268" t="e">
        <v>#N/A</v>
      </c>
    </row>
    <row r="1361" spans="5:10" ht="12.75" hidden="1" customHeight="1" x14ac:dyDescent="0.25">
      <c r="E1361" s="305" t="e">
        <v>#VALUE!</v>
      </c>
      <c r="F1361" s="278" t="e">
        <f t="shared" si="20"/>
        <v>#VALUE!</v>
      </c>
      <c r="G1361" s="263" t="e">
        <v>#N/A</v>
      </c>
      <c r="H1361" s="266" t="e">
        <v>#N/A</v>
      </c>
      <c r="I1361" s="267" t="e">
        <v>#N/A</v>
      </c>
      <c r="J1361" s="268" t="e">
        <v>#N/A</v>
      </c>
    </row>
    <row r="1362" spans="5:10" ht="12.75" hidden="1" customHeight="1" x14ac:dyDescent="0.25">
      <c r="E1362" s="305" t="e">
        <v>#VALUE!</v>
      </c>
      <c r="F1362" s="278" t="e">
        <f t="shared" si="20"/>
        <v>#VALUE!</v>
      </c>
      <c r="G1362" s="263" t="e">
        <v>#N/A</v>
      </c>
      <c r="H1362" s="266" t="e">
        <v>#N/A</v>
      </c>
      <c r="I1362" s="267" t="e">
        <v>#N/A</v>
      </c>
      <c r="J1362" s="268" t="e">
        <v>#N/A</v>
      </c>
    </row>
    <row r="1363" spans="5:10" ht="12.75" hidden="1" customHeight="1" x14ac:dyDescent="0.25">
      <c r="E1363" s="305" t="e">
        <v>#VALUE!</v>
      </c>
      <c r="F1363" s="278" t="e">
        <f t="shared" si="20"/>
        <v>#VALUE!</v>
      </c>
      <c r="G1363" s="263" t="e">
        <v>#N/A</v>
      </c>
      <c r="H1363" s="266" t="e">
        <v>#N/A</v>
      </c>
      <c r="I1363" s="267" t="e">
        <v>#N/A</v>
      </c>
      <c r="J1363" s="268" t="e">
        <v>#N/A</v>
      </c>
    </row>
    <row r="1364" spans="5:10" ht="12.75" hidden="1" customHeight="1" x14ac:dyDescent="0.25">
      <c r="E1364" s="305" t="e">
        <v>#VALUE!</v>
      </c>
      <c r="F1364" s="278" t="e">
        <f t="shared" si="20"/>
        <v>#VALUE!</v>
      </c>
      <c r="G1364" s="263" t="e">
        <v>#N/A</v>
      </c>
      <c r="H1364" s="266" t="e">
        <v>#N/A</v>
      </c>
      <c r="I1364" s="267" t="e">
        <v>#N/A</v>
      </c>
      <c r="J1364" s="268" t="e">
        <v>#N/A</v>
      </c>
    </row>
    <row r="1365" spans="5:10" ht="12.75" hidden="1" customHeight="1" x14ac:dyDescent="0.25">
      <c r="E1365" s="305" t="e">
        <v>#VALUE!</v>
      </c>
      <c r="F1365" s="278" t="e">
        <f t="shared" si="20"/>
        <v>#VALUE!</v>
      </c>
      <c r="G1365" s="263" t="e">
        <v>#N/A</v>
      </c>
      <c r="H1365" s="266" t="e">
        <v>#N/A</v>
      </c>
      <c r="I1365" s="267" t="e">
        <v>#N/A</v>
      </c>
      <c r="J1365" s="268" t="e">
        <v>#N/A</v>
      </c>
    </row>
    <row r="1366" spans="5:10" ht="12.75" hidden="1" customHeight="1" x14ac:dyDescent="0.25">
      <c r="E1366" s="305" t="e">
        <v>#VALUE!</v>
      </c>
      <c r="F1366" s="278" t="e">
        <f t="shared" si="20"/>
        <v>#VALUE!</v>
      </c>
      <c r="G1366" s="263" t="e">
        <v>#N/A</v>
      </c>
      <c r="H1366" s="266" t="e">
        <v>#N/A</v>
      </c>
      <c r="I1366" s="267" t="e">
        <v>#N/A</v>
      </c>
      <c r="J1366" s="268" t="e">
        <v>#N/A</v>
      </c>
    </row>
    <row r="1367" spans="5:10" ht="12.75" hidden="1" customHeight="1" x14ac:dyDescent="0.25">
      <c r="E1367" s="305" t="e">
        <v>#VALUE!</v>
      </c>
      <c r="F1367" s="278" t="e">
        <f t="shared" si="20"/>
        <v>#VALUE!</v>
      </c>
      <c r="G1367" s="263" t="e">
        <v>#N/A</v>
      </c>
      <c r="H1367" s="266" t="e">
        <v>#N/A</v>
      </c>
      <c r="I1367" s="267" t="e">
        <v>#N/A</v>
      </c>
      <c r="J1367" s="268" t="e">
        <v>#N/A</v>
      </c>
    </row>
    <row r="1368" spans="5:10" ht="12.75" hidden="1" customHeight="1" x14ac:dyDescent="0.25">
      <c r="E1368" s="305" t="e">
        <v>#VALUE!</v>
      </c>
      <c r="F1368" s="278" t="e">
        <f t="shared" si="20"/>
        <v>#VALUE!</v>
      </c>
      <c r="G1368" s="263" t="e">
        <v>#N/A</v>
      </c>
      <c r="H1368" s="266" t="e">
        <v>#N/A</v>
      </c>
      <c r="I1368" s="267" t="e">
        <v>#N/A</v>
      </c>
      <c r="J1368" s="268" t="e">
        <v>#N/A</v>
      </c>
    </row>
    <row r="1369" spans="5:10" ht="12.75" hidden="1" customHeight="1" x14ac:dyDescent="0.25">
      <c r="E1369" s="305" t="e">
        <v>#VALUE!</v>
      </c>
      <c r="F1369" s="278" t="e">
        <f t="shared" si="20"/>
        <v>#VALUE!</v>
      </c>
      <c r="G1369" s="263" t="e">
        <v>#N/A</v>
      </c>
      <c r="H1369" s="266" t="e">
        <v>#N/A</v>
      </c>
      <c r="I1369" s="267" t="e">
        <v>#N/A</v>
      </c>
      <c r="J1369" s="268" t="e">
        <v>#N/A</v>
      </c>
    </row>
    <row r="1370" spans="5:10" ht="12.75" hidden="1" customHeight="1" x14ac:dyDescent="0.25">
      <c r="E1370" s="305" t="e">
        <v>#VALUE!</v>
      </c>
      <c r="F1370" s="278" t="e">
        <f t="shared" si="20"/>
        <v>#VALUE!</v>
      </c>
      <c r="G1370" s="263" t="e">
        <v>#N/A</v>
      </c>
      <c r="H1370" s="266" t="e">
        <v>#N/A</v>
      </c>
      <c r="I1370" s="267" t="e">
        <v>#N/A</v>
      </c>
      <c r="J1370" s="268" t="e">
        <v>#N/A</v>
      </c>
    </row>
    <row r="1371" spans="5:10" ht="12.75" hidden="1" customHeight="1" x14ac:dyDescent="0.25">
      <c r="E1371" s="305" t="e">
        <v>#VALUE!</v>
      </c>
      <c r="F1371" s="278" t="e">
        <f t="shared" si="20"/>
        <v>#VALUE!</v>
      </c>
      <c r="G1371" s="263" t="e">
        <v>#N/A</v>
      </c>
      <c r="H1371" s="266" t="e">
        <v>#N/A</v>
      </c>
      <c r="I1371" s="267" t="e">
        <v>#N/A</v>
      </c>
      <c r="J1371" s="268" t="e">
        <v>#N/A</v>
      </c>
    </row>
    <row r="1372" spans="5:10" ht="12.75" hidden="1" customHeight="1" x14ac:dyDescent="0.25">
      <c r="E1372" s="305" t="e">
        <v>#VALUE!</v>
      </c>
      <c r="F1372" s="278" t="e">
        <f t="shared" si="20"/>
        <v>#VALUE!</v>
      </c>
      <c r="G1372" s="263" t="e">
        <v>#N/A</v>
      </c>
      <c r="H1372" s="266" t="e">
        <v>#N/A</v>
      </c>
      <c r="I1372" s="267" t="e">
        <v>#N/A</v>
      </c>
      <c r="J1372" s="268" t="e">
        <v>#N/A</v>
      </c>
    </row>
    <row r="1373" spans="5:10" ht="12.75" hidden="1" customHeight="1" x14ac:dyDescent="0.25">
      <c r="E1373" s="305" t="e">
        <v>#VALUE!</v>
      </c>
      <c r="F1373" s="278" t="e">
        <f t="shared" si="20"/>
        <v>#VALUE!</v>
      </c>
      <c r="G1373" s="263" t="e">
        <v>#N/A</v>
      </c>
      <c r="H1373" s="266" t="e">
        <v>#N/A</v>
      </c>
      <c r="I1373" s="267" t="e">
        <v>#N/A</v>
      </c>
      <c r="J1373" s="268" t="e">
        <v>#N/A</v>
      </c>
    </row>
    <row r="1374" spans="5:10" ht="12.75" hidden="1" customHeight="1" x14ac:dyDescent="0.25">
      <c r="E1374" s="305" t="e">
        <v>#VALUE!</v>
      </c>
      <c r="F1374" s="278" t="e">
        <f t="shared" si="20"/>
        <v>#VALUE!</v>
      </c>
      <c r="G1374" s="263" t="e">
        <v>#N/A</v>
      </c>
      <c r="H1374" s="266" t="e">
        <v>#N/A</v>
      </c>
      <c r="I1374" s="267" t="e">
        <v>#N/A</v>
      </c>
      <c r="J1374" s="268" t="e">
        <v>#N/A</v>
      </c>
    </row>
    <row r="1375" spans="5:10" ht="12.75" hidden="1" customHeight="1" x14ac:dyDescent="0.25">
      <c r="E1375" s="305" t="e">
        <v>#VALUE!</v>
      </c>
      <c r="F1375" s="278" t="e">
        <f t="shared" si="20"/>
        <v>#VALUE!</v>
      </c>
      <c r="G1375" s="263" t="e">
        <v>#N/A</v>
      </c>
      <c r="H1375" s="266" t="e">
        <v>#N/A</v>
      </c>
      <c r="I1375" s="267" t="e">
        <v>#N/A</v>
      </c>
      <c r="J1375" s="268" t="e">
        <v>#N/A</v>
      </c>
    </row>
    <row r="1376" spans="5:10" ht="12.75" hidden="1" customHeight="1" x14ac:dyDescent="0.25">
      <c r="E1376" s="305" t="e">
        <v>#VALUE!</v>
      </c>
      <c r="F1376" s="278" t="e">
        <f t="shared" si="20"/>
        <v>#VALUE!</v>
      </c>
      <c r="G1376" s="263" t="e">
        <v>#N/A</v>
      </c>
      <c r="H1376" s="266" t="e">
        <v>#N/A</v>
      </c>
      <c r="I1376" s="267" t="e">
        <v>#N/A</v>
      </c>
      <c r="J1376" s="268" t="e">
        <v>#N/A</v>
      </c>
    </row>
    <row r="1377" spans="5:10" ht="12.75" hidden="1" customHeight="1" x14ac:dyDescent="0.25">
      <c r="E1377" s="305" t="e">
        <v>#VALUE!</v>
      </c>
      <c r="F1377" s="278" t="e">
        <f t="shared" si="20"/>
        <v>#VALUE!</v>
      </c>
      <c r="G1377" s="263" t="e">
        <v>#N/A</v>
      </c>
      <c r="H1377" s="266" t="e">
        <v>#N/A</v>
      </c>
      <c r="I1377" s="267" t="e">
        <v>#N/A</v>
      </c>
      <c r="J1377" s="268" t="e">
        <v>#N/A</v>
      </c>
    </row>
    <row r="1378" spans="5:10" ht="12.75" hidden="1" customHeight="1" x14ac:dyDescent="0.25">
      <c r="E1378" s="305" t="e">
        <v>#VALUE!</v>
      </c>
      <c r="F1378" s="278" t="e">
        <f t="shared" si="20"/>
        <v>#VALUE!</v>
      </c>
      <c r="G1378" s="263" t="e">
        <v>#N/A</v>
      </c>
      <c r="H1378" s="266" t="e">
        <v>#N/A</v>
      </c>
      <c r="I1378" s="267" t="e">
        <v>#N/A</v>
      </c>
      <c r="J1378" s="268" t="e">
        <v>#N/A</v>
      </c>
    </row>
    <row r="1379" spans="5:10" ht="12.75" hidden="1" customHeight="1" x14ac:dyDescent="0.25">
      <c r="E1379" s="305" t="e">
        <v>#VALUE!</v>
      </c>
      <c r="F1379" s="278" t="e">
        <f t="shared" si="20"/>
        <v>#VALUE!</v>
      </c>
      <c r="G1379" s="263" t="e">
        <v>#N/A</v>
      </c>
      <c r="H1379" s="266" t="e">
        <v>#N/A</v>
      </c>
      <c r="I1379" s="267" t="e">
        <v>#N/A</v>
      </c>
      <c r="J1379" s="268" t="e">
        <v>#N/A</v>
      </c>
    </row>
    <row r="1380" spans="5:10" ht="12.75" hidden="1" customHeight="1" x14ac:dyDescent="0.25">
      <c r="E1380" s="305" t="e">
        <v>#VALUE!</v>
      </c>
      <c r="F1380" s="278" t="e">
        <f t="shared" si="20"/>
        <v>#VALUE!</v>
      </c>
      <c r="G1380" s="263" t="e">
        <v>#N/A</v>
      </c>
      <c r="H1380" s="266" t="e">
        <v>#N/A</v>
      </c>
      <c r="I1380" s="267" t="e">
        <v>#N/A</v>
      </c>
      <c r="J1380" s="268" t="e">
        <v>#N/A</v>
      </c>
    </row>
    <row r="1381" spans="5:10" ht="12.75" hidden="1" customHeight="1" x14ac:dyDescent="0.25">
      <c r="E1381" s="305" t="e">
        <v>#VALUE!</v>
      </c>
      <c r="F1381" s="278" t="e">
        <f t="shared" si="20"/>
        <v>#VALUE!</v>
      </c>
      <c r="G1381" s="263" t="e">
        <v>#N/A</v>
      </c>
      <c r="H1381" s="266" t="e">
        <v>#N/A</v>
      </c>
      <c r="I1381" s="267" t="e">
        <v>#N/A</v>
      </c>
      <c r="J1381" s="268" t="e">
        <v>#N/A</v>
      </c>
    </row>
    <row r="1382" spans="5:10" ht="12.75" hidden="1" customHeight="1" x14ac:dyDescent="0.25">
      <c r="E1382" s="305" t="e">
        <v>#VALUE!</v>
      </c>
      <c r="F1382" s="278" t="e">
        <f t="shared" si="20"/>
        <v>#VALUE!</v>
      </c>
      <c r="G1382" s="263" t="e">
        <v>#N/A</v>
      </c>
      <c r="H1382" s="266" t="e">
        <v>#N/A</v>
      </c>
      <c r="I1382" s="267" t="e">
        <v>#N/A</v>
      </c>
      <c r="J1382" s="268" t="e">
        <v>#N/A</v>
      </c>
    </row>
    <row r="1383" spans="5:10" ht="12.75" hidden="1" customHeight="1" x14ac:dyDescent="0.25">
      <c r="E1383" s="305" t="e">
        <v>#VALUE!</v>
      </c>
      <c r="F1383" s="278" t="e">
        <f t="shared" si="20"/>
        <v>#VALUE!</v>
      </c>
      <c r="G1383" s="263" t="e">
        <v>#N/A</v>
      </c>
      <c r="H1383" s="266" t="e">
        <v>#N/A</v>
      </c>
      <c r="I1383" s="267" t="e">
        <v>#N/A</v>
      </c>
      <c r="J1383" s="268" t="e">
        <v>#N/A</v>
      </c>
    </row>
    <row r="1384" spans="5:10" ht="12.75" hidden="1" customHeight="1" x14ac:dyDescent="0.25">
      <c r="E1384" s="305" t="e">
        <v>#VALUE!</v>
      </c>
      <c r="F1384" s="278" t="e">
        <f t="shared" si="20"/>
        <v>#VALUE!</v>
      </c>
      <c r="G1384" s="263" t="e">
        <v>#N/A</v>
      </c>
      <c r="H1384" s="266" t="e">
        <v>#N/A</v>
      </c>
      <c r="I1384" s="267" t="e">
        <v>#N/A</v>
      </c>
      <c r="J1384" s="268" t="e">
        <v>#N/A</v>
      </c>
    </row>
    <row r="1385" spans="5:10" ht="12.75" hidden="1" customHeight="1" x14ac:dyDescent="0.25">
      <c r="E1385" s="305" t="e">
        <v>#VALUE!</v>
      </c>
      <c r="F1385" s="278" t="e">
        <f t="shared" si="20"/>
        <v>#VALUE!</v>
      </c>
      <c r="G1385" s="263" t="e">
        <v>#N/A</v>
      </c>
      <c r="H1385" s="266" t="e">
        <v>#N/A</v>
      </c>
      <c r="I1385" s="267" t="e">
        <v>#N/A</v>
      </c>
      <c r="J1385" s="268" t="e">
        <v>#N/A</v>
      </c>
    </row>
    <row r="1386" spans="5:10" ht="12.75" hidden="1" customHeight="1" x14ac:dyDescent="0.25">
      <c r="E1386" s="305" t="e">
        <v>#VALUE!</v>
      </c>
      <c r="F1386" s="278" t="e">
        <f t="shared" si="20"/>
        <v>#VALUE!</v>
      </c>
      <c r="G1386" s="263" t="e">
        <v>#N/A</v>
      </c>
      <c r="H1386" s="266" t="e">
        <v>#N/A</v>
      </c>
      <c r="I1386" s="267" t="e">
        <v>#N/A</v>
      </c>
      <c r="J1386" s="268" t="e">
        <v>#N/A</v>
      </c>
    </row>
    <row r="1387" spans="5:10" ht="12.75" hidden="1" customHeight="1" x14ac:dyDescent="0.25">
      <c r="E1387" s="305" t="e">
        <v>#VALUE!</v>
      </c>
      <c r="F1387" s="278" t="e">
        <f t="shared" si="20"/>
        <v>#VALUE!</v>
      </c>
      <c r="G1387" s="263" t="e">
        <v>#N/A</v>
      </c>
      <c r="H1387" s="266" t="e">
        <v>#N/A</v>
      </c>
      <c r="I1387" s="267" t="e">
        <v>#N/A</v>
      </c>
      <c r="J1387" s="268" t="e">
        <v>#N/A</v>
      </c>
    </row>
    <row r="1388" spans="5:10" ht="12.75" hidden="1" customHeight="1" x14ac:dyDescent="0.25">
      <c r="E1388" s="305" t="e">
        <v>#VALUE!</v>
      </c>
      <c r="F1388" s="278" t="e">
        <f t="shared" ref="F1388:F1451" si="21">C1388-D1388+E1388</f>
        <v>#VALUE!</v>
      </c>
      <c r="G1388" s="263" t="e">
        <v>#N/A</v>
      </c>
      <c r="H1388" s="266" t="e">
        <v>#N/A</v>
      </c>
      <c r="I1388" s="267" t="e">
        <v>#N/A</v>
      </c>
      <c r="J1388" s="268" t="e">
        <v>#N/A</v>
      </c>
    </row>
    <row r="1389" spans="5:10" ht="12.75" hidden="1" customHeight="1" x14ac:dyDescent="0.25">
      <c r="E1389" s="305" t="e">
        <v>#VALUE!</v>
      </c>
      <c r="F1389" s="278" t="e">
        <f t="shared" si="21"/>
        <v>#VALUE!</v>
      </c>
      <c r="G1389" s="263" t="e">
        <v>#N/A</v>
      </c>
      <c r="H1389" s="266" t="e">
        <v>#N/A</v>
      </c>
      <c r="I1389" s="267" t="e">
        <v>#N/A</v>
      </c>
      <c r="J1389" s="268" t="e">
        <v>#N/A</v>
      </c>
    </row>
    <row r="1390" spans="5:10" ht="12.75" hidden="1" customHeight="1" x14ac:dyDescent="0.25">
      <c r="E1390" s="305" t="e">
        <v>#VALUE!</v>
      </c>
      <c r="F1390" s="278" t="e">
        <f t="shared" si="21"/>
        <v>#VALUE!</v>
      </c>
      <c r="G1390" s="263" t="e">
        <v>#N/A</v>
      </c>
      <c r="H1390" s="266" t="e">
        <v>#N/A</v>
      </c>
      <c r="I1390" s="267" t="e">
        <v>#N/A</v>
      </c>
      <c r="J1390" s="268" t="e">
        <v>#N/A</v>
      </c>
    </row>
    <row r="1391" spans="5:10" ht="12.75" hidden="1" customHeight="1" x14ac:dyDescent="0.25">
      <c r="E1391" s="305" t="e">
        <v>#VALUE!</v>
      </c>
      <c r="F1391" s="278" t="e">
        <f t="shared" si="21"/>
        <v>#VALUE!</v>
      </c>
      <c r="G1391" s="263" t="e">
        <v>#N/A</v>
      </c>
      <c r="H1391" s="266" t="e">
        <v>#N/A</v>
      </c>
      <c r="I1391" s="267" t="e">
        <v>#N/A</v>
      </c>
      <c r="J1391" s="268" t="e">
        <v>#N/A</v>
      </c>
    </row>
    <row r="1392" spans="5:10" ht="12.75" hidden="1" customHeight="1" x14ac:dyDescent="0.25">
      <c r="E1392" s="305" t="e">
        <v>#VALUE!</v>
      </c>
      <c r="F1392" s="278" t="e">
        <f t="shared" si="21"/>
        <v>#VALUE!</v>
      </c>
      <c r="G1392" s="263" t="e">
        <v>#N/A</v>
      </c>
      <c r="H1392" s="266" t="e">
        <v>#N/A</v>
      </c>
      <c r="I1392" s="267" t="e">
        <v>#N/A</v>
      </c>
      <c r="J1392" s="268" t="e">
        <v>#N/A</v>
      </c>
    </row>
    <row r="1393" spans="5:10" ht="12.75" hidden="1" customHeight="1" x14ac:dyDescent="0.25">
      <c r="E1393" s="305" t="e">
        <v>#VALUE!</v>
      </c>
      <c r="F1393" s="278" t="e">
        <f t="shared" si="21"/>
        <v>#VALUE!</v>
      </c>
      <c r="G1393" s="263" t="e">
        <v>#N/A</v>
      </c>
      <c r="H1393" s="266" t="e">
        <v>#N/A</v>
      </c>
      <c r="I1393" s="267" t="e">
        <v>#N/A</v>
      </c>
      <c r="J1393" s="268" t="e">
        <v>#N/A</v>
      </c>
    </row>
    <row r="1394" spans="5:10" ht="12.75" hidden="1" customHeight="1" x14ac:dyDescent="0.25">
      <c r="E1394" s="305" t="e">
        <v>#VALUE!</v>
      </c>
      <c r="F1394" s="278" t="e">
        <f t="shared" si="21"/>
        <v>#VALUE!</v>
      </c>
      <c r="G1394" s="263" t="e">
        <v>#N/A</v>
      </c>
      <c r="H1394" s="266" t="e">
        <v>#N/A</v>
      </c>
      <c r="I1394" s="267" t="e">
        <v>#N/A</v>
      </c>
      <c r="J1394" s="268" t="e">
        <v>#N/A</v>
      </c>
    </row>
    <row r="1395" spans="5:10" ht="12.75" hidden="1" customHeight="1" x14ac:dyDescent="0.25">
      <c r="E1395" s="305" t="e">
        <v>#VALUE!</v>
      </c>
      <c r="F1395" s="278" t="e">
        <f t="shared" si="21"/>
        <v>#VALUE!</v>
      </c>
      <c r="G1395" s="263" t="e">
        <v>#N/A</v>
      </c>
      <c r="H1395" s="266" t="e">
        <v>#N/A</v>
      </c>
      <c r="I1395" s="267" t="e">
        <v>#N/A</v>
      </c>
      <c r="J1395" s="268" t="e">
        <v>#N/A</v>
      </c>
    </row>
    <row r="1396" spans="5:10" ht="12.75" hidden="1" customHeight="1" x14ac:dyDescent="0.25">
      <c r="E1396" s="305" t="e">
        <v>#VALUE!</v>
      </c>
      <c r="F1396" s="278" t="e">
        <f t="shared" si="21"/>
        <v>#VALUE!</v>
      </c>
      <c r="G1396" s="263" t="e">
        <v>#N/A</v>
      </c>
      <c r="H1396" s="266" t="e">
        <v>#N/A</v>
      </c>
      <c r="I1396" s="267" t="e">
        <v>#N/A</v>
      </c>
      <c r="J1396" s="268" t="e">
        <v>#N/A</v>
      </c>
    </row>
    <row r="1397" spans="5:10" ht="12.75" hidden="1" customHeight="1" x14ac:dyDescent="0.25">
      <c r="E1397" s="305" t="e">
        <v>#VALUE!</v>
      </c>
      <c r="F1397" s="278" t="e">
        <f t="shared" si="21"/>
        <v>#VALUE!</v>
      </c>
      <c r="G1397" s="263" t="e">
        <v>#N/A</v>
      </c>
      <c r="H1397" s="266" t="e">
        <v>#N/A</v>
      </c>
      <c r="I1397" s="267" t="e">
        <v>#N/A</v>
      </c>
      <c r="J1397" s="268" t="e">
        <v>#N/A</v>
      </c>
    </row>
    <row r="1398" spans="5:10" ht="12.75" hidden="1" customHeight="1" x14ac:dyDescent="0.25">
      <c r="E1398" s="305" t="e">
        <v>#VALUE!</v>
      </c>
      <c r="F1398" s="278" t="e">
        <f t="shared" si="21"/>
        <v>#VALUE!</v>
      </c>
      <c r="G1398" s="263" t="e">
        <v>#N/A</v>
      </c>
      <c r="H1398" s="266" t="e">
        <v>#N/A</v>
      </c>
      <c r="I1398" s="267" t="e">
        <v>#N/A</v>
      </c>
      <c r="J1398" s="268" t="e">
        <v>#N/A</v>
      </c>
    </row>
    <row r="1399" spans="5:10" ht="12.75" hidden="1" customHeight="1" x14ac:dyDescent="0.25">
      <c r="E1399" s="305" t="e">
        <v>#VALUE!</v>
      </c>
      <c r="F1399" s="278" t="e">
        <f t="shared" si="21"/>
        <v>#VALUE!</v>
      </c>
      <c r="G1399" s="263" t="e">
        <v>#N/A</v>
      </c>
      <c r="H1399" s="266" t="e">
        <v>#N/A</v>
      </c>
      <c r="I1399" s="267" t="e">
        <v>#N/A</v>
      </c>
      <c r="J1399" s="268" t="e">
        <v>#N/A</v>
      </c>
    </row>
    <row r="1400" spans="5:10" ht="12.75" hidden="1" customHeight="1" x14ac:dyDescent="0.25">
      <c r="E1400" s="305" t="e">
        <v>#VALUE!</v>
      </c>
      <c r="F1400" s="278" t="e">
        <f t="shared" si="21"/>
        <v>#VALUE!</v>
      </c>
      <c r="G1400" s="263" t="e">
        <v>#N/A</v>
      </c>
      <c r="H1400" s="266" t="e">
        <v>#N/A</v>
      </c>
      <c r="I1400" s="267" t="e">
        <v>#N/A</v>
      </c>
      <c r="J1400" s="268" t="e">
        <v>#N/A</v>
      </c>
    </row>
    <row r="1401" spans="5:10" ht="12.75" hidden="1" customHeight="1" x14ac:dyDescent="0.25">
      <c r="E1401" s="305" t="e">
        <v>#VALUE!</v>
      </c>
      <c r="F1401" s="278" t="e">
        <f t="shared" si="21"/>
        <v>#VALUE!</v>
      </c>
      <c r="G1401" s="263" t="e">
        <v>#N/A</v>
      </c>
      <c r="H1401" s="266" t="e">
        <v>#N/A</v>
      </c>
      <c r="I1401" s="267" t="e">
        <v>#N/A</v>
      </c>
      <c r="J1401" s="268" t="e">
        <v>#N/A</v>
      </c>
    </row>
    <row r="1402" spans="5:10" ht="12.75" hidden="1" customHeight="1" x14ac:dyDescent="0.25">
      <c r="E1402" s="305" t="e">
        <v>#VALUE!</v>
      </c>
      <c r="F1402" s="278" t="e">
        <f t="shared" si="21"/>
        <v>#VALUE!</v>
      </c>
      <c r="G1402" s="263" t="e">
        <v>#N/A</v>
      </c>
      <c r="H1402" s="266" t="e">
        <v>#N/A</v>
      </c>
      <c r="I1402" s="267" t="e">
        <v>#N/A</v>
      </c>
      <c r="J1402" s="268" t="e">
        <v>#N/A</v>
      </c>
    </row>
    <row r="1403" spans="5:10" ht="12.75" hidden="1" customHeight="1" x14ac:dyDescent="0.25">
      <c r="E1403" s="305" t="e">
        <v>#VALUE!</v>
      </c>
      <c r="F1403" s="278" t="e">
        <f t="shared" si="21"/>
        <v>#VALUE!</v>
      </c>
      <c r="G1403" s="263" t="e">
        <v>#N/A</v>
      </c>
      <c r="H1403" s="266" t="e">
        <v>#N/A</v>
      </c>
      <c r="I1403" s="267" t="e">
        <v>#N/A</v>
      </c>
      <c r="J1403" s="268" t="e">
        <v>#N/A</v>
      </c>
    </row>
    <row r="1404" spans="5:10" ht="12.75" hidden="1" customHeight="1" x14ac:dyDescent="0.25">
      <c r="E1404" s="305" t="e">
        <v>#VALUE!</v>
      </c>
      <c r="F1404" s="278" t="e">
        <f t="shared" si="21"/>
        <v>#VALUE!</v>
      </c>
      <c r="G1404" s="263" t="e">
        <v>#N/A</v>
      </c>
      <c r="H1404" s="266" t="e">
        <v>#N/A</v>
      </c>
      <c r="I1404" s="267" t="e">
        <v>#N/A</v>
      </c>
      <c r="J1404" s="268" t="e">
        <v>#N/A</v>
      </c>
    </row>
    <row r="1405" spans="5:10" ht="12.75" hidden="1" customHeight="1" x14ac:dyDescent="0.25">
      <c r="E1405" s="305" t="e">
        <v>#VALUE!</v>
      </c>
      <c r="F1405" s="278" t="e">
        <f t="shared" si="21"/>
        <v>#VALUE!</v>
      </c>
      <c r="G1405" s="263" t="e">
        <v>#N/A</v>
      </c>
      <c r="H1405" s="266" t="e">
        <v>#N/A</v>
      </c>
      <c r="I1405" s="267" t="e">
        <v>#N/A</v>
      </c>
      <c r="J1405" s="268" t="e">
        <v>#N/A</v>
      </c>
    </row>
    <row r="1406" spans="5:10" ht="12.75" hidden="1" customHeight="1" x14ac:dyDescent="0.25">
      <c r="E1406" s="305" t="e">
        <v>#VALUE!</v>
      </c>
      <c r="F1406" s="278" t="e">
        <f t="shared" si="21"/>
        <v>#VALUE!</v>
      </c>
      <c r="G1406" s="263" t="e">
        <v>#N/A</v>
      </c>
      <c r="H1406" s="266" t="e">
        <v>#N/A</v>
      </c>
      <c r="I1406" s="267" t="e">
        <v>#N/A</v>
      </c>
      <c r="J1406" s="268" t="e">
        <v>#N/A</v>
      </c>
    </row>
    <row r="1407" spans="5:10" ht="12.75" hidden="1" customHeight="1" x14ac:dyDescent="0.25">
      <c r="E1407" s="305" t="e">
        <v>#VALUE!</v>
      </c>
      <c r="F1407" s="278" t="e">
        <f t="shared" si="21"/>
        <v>#VALUE!</v>
      </c>
      <c r="G1407" s="263" t="e">
        <v>#N/A</v>
      </c>
      <c r="H1407" s="266" t="e">
        <v>#N/A</v>
      </c>
      <c r="I1407" s="267" t="e">
        <v>#N/A</v>
      </c>
      <c r="J1407" s="268" t="e">
        <v>#N/A</v>
      </c>
    </row>
    <row r="1408" spans="5:10" ht="12.75" hidden="1" customHeight="1" x14ac:dyDescent="0.25">
      <c r="E1408" s="305" t="e">
        <v>#VALUE!</v>
      </c>
      <c r="F1408" s="278" t="e">
        <f t="shared" si="21"/>
        <v>#VALUE!</v>
      </c>
      <c r="G1408" s="263" t="e">
        <v>#N/A</v>
      </c>
      <c r="H1408" s="266" t="e">
        <v>#N/A</v>
      </c>
      <c r="I1408" s="267" t="e">
        <v>#N/A</v>
      </c>
      <c r="J1408" s="268" t="e">
        <v>#N/A</v>
      </c>
    </row>
    <row r="1409" spans="5:10" ht="12.75" hidden="1" customHeight="1" x14ac:dyDescent="0.25">
      <c r="E1409" s="305" t="e">
        <v>#VALUE!</v>
      </c>
      <c r="F1409" s="278" t="e">
        <f t="shared" si="21"/>
        <v>#VALUE!</v>
      </c>
      <c r="G1409" s="263" t="e">
        <v>#N/A</v>
      </c>
      <c r="H1409" s="266" t="e">
        <v>#N/A</v>
      </c>
      <c r="I1409" s="267" t="e">
        <v>#N/A</v>
      </c>
      <c r="J1409" s="268" t="e">
        <v>#N/A</v>
      </c>
    </row>
    <row r="1410" spans="5:10" ht="12.75" hidden="1" customHeight="1" x14ac:dyDescent="0.25">
      <c r="E1410" s="305" t="e">
        <v>#VALUE!</v>
      </c>
      <c r="F1410" s="278" t="e">
        <f t="shared" si="21"/>
        <v>#VALUE!</v>
      </c>
      <c r="G1410" s="263" t="e">
        <v>#N/A</v>
      </c>
      <c r="H1410" s="266" t="e">
        <v>#N/A</v>
      </c>
      <c r="I1410" s="267" t="e">
        <v>#N/A</v>
      </c>
      <c r="J1410" s="268" t="e">
        <v>#N/A</v>
      </c>
    </row>
    <row r="1411" spans="5:10" ht="12.75" hidden="1" customHeight="1" x14ac:dyDescent="0.25">
      <c r="E1411" s="305" t="e">
        <v>#VALUE!</v>
      </c>
      <c r="F1411" s="278" t="e">
        <f t="shared" si="21"/>
        <v>#VALUE!</v>
      </c>
      <c r="G1411" s="263" t="e">
        <v>#N/A</v>
      </c>
      <c r="H1411" s="266" t="e">
        <v>#N/A</v>
      </c>
      <c r="I1411" s="267" t="e">
        <v>#N/A</v>
      </c>
      <c r="J1411" s="268" t="e">
        <v>#N/A</v>
      </c>
    </row>
    <row r="1412" spans="5:10" ht="12.75" hidden="1" customHeight="1" x14ac:dyDescent="0.25">
      <c r="E1412" s="305" t="e">
        <v>#VALUE!</v>
      </c>
      <c r="F1412" s="278" t="e">
        <f t="shared" si="21"/>
        <v>#VALUE!</v>
      </c>
      <c r="G1412" s="263" t="e">
        <v>#N/A</v>
      </c>
      <c r="H1412" s="266" t="e">
        <v>#N/A</v>
      </c>
      <c r="I1412" s="267" t="e">
        <v>#N/A</v>
      </c>
      <c r="J1412" s="268" t="e">
        <v>#N/A</v>
      </c>
    </row>
    <row r="1413" spans="5:10" ht="12.75" hidden="1" customHeight="1" x14ac:dyDescent="0.25">
      <c r="E1413" s="305" t="e">
        <v>#VALUE!</v>
      </c>
      <c r="F1413" s="278" t="e">
        <f t="shared" si="21"/>
        <v>#VALUE!</v>
      </c>
      <c r="G1413" s="263" t="e">
        <v>#N/A</v>
      </c>
      <c r="H1413" s="266" t="e">
        <v>#N/A</v>
      </c>
      <c r="I1413" s="267" t="e">
        <v>#N/A</v>
      </c>
      <c r="J1413" s="268" t="e">
        <v>#N/A</v>
      </c>
    </row>
    <row r="1414" spans="5:10" ht="12.75" hidden="1" customHeight="1" x14ac:dyDescent="0.25">
      <c r="E1414" s="305" t="e">
        <v>#VALUE!</v>
      </c>
      <c r="F1414" s="278" t="e">
        <f t="shared" si="21"/>
        <v>#VALUE!</v>
      </c>
      <c r="G1414" s="263" t="e">
        <v>#N/A</v>
      </c>
      <c r="H1414" s="266" t="e">
        <v>#N/A</v>
      </c>
      <c r="I1414" s="267" t="e">
        <v>#N/A</v>
      </c>
      <c r="J1414" s="268" t="e">
        <v>#N/A</v>
      </c>
    </row>
    <row r="1415" spans="5:10" ht="12.75" hidden="1" customHeight="1" x14ac:dyDescent="0.25">
      <c r="E1415" s="305" t="e">
        <v>#VALUE!</v>
      </c>
      <c r="F1415" s="278" t="e">
        <f t="shared" si="21"/>
        <v>#VALUE!</v>
      </c>
      <c r="G1415" s="263" t="e">
        <v>#N/A</v>
      </c>
      <c r="H1415" s="266" t="e">
        <v>#N/A</v>
      </c>
      <c r="I1415" s="267" t="e">
        <v>#N/A</v>
      </c>
      <c r="J1415" s="268" t="e">
        <v>#N/A</v>
      </c>
    </row>
    <row r="1416" spans="5:10" ht="12.75" hidden="1" customHeight="1" x14ac:dyDescent="0.25">
      <c r="E1416" s="305" t="e">
        <v>#VALUE!</v>
      </c>
      <c r="F1416" s="278" t="e">
        <f t="shared" si="21"/>
        <v>#VALUE!</v>
      </c>
      <c r="G1416" s="263" t="e">
        <v>#N/A</v>
      </c>
      <c r="H1416" s="266" t="e">
        <v>#N/A</v>
      </c>
      <c r="I1416" s="267" t="e">
        <v>#N/A</v>
      </c>
      <c r="J1416" s="268" t="e">
        <v>#N/A</v>
      </c>
    </row>
    <row r="1417" spans="5:10" ht="12.75" hidden="1" customHeight="1" x14ac:dyDescent="0.25">
      <c r="E1417" s="305" t="e">
        <v>#VALUE!</v>
      </c>
      <c r="F1417" s="278" t="e">
        <f t="shared" si="21"/>
        <v>#VALUE!</v>
      </c>
      <c r="G1417" s="263" t="e">
        <v>#N/A</v>
      </c>
      <c r="H1417" s="266" t="e">
        <v>#N/A</v>
      </c>
      <c r="I1417" s="267" t="e">
        <v>#N/A</v>
      </c>
      <c r="J1417" s="268" t="e">
        <v>#N/A</v>
      </c>
    </row>
    <row r="1418" spans="5:10" ht="12.75" hidden="1" customHeight="1" x14ac:dyDescent="0.25">
      <c r="E1418" s="305" t="e">
        <v>#VALUE!</v>
      </c>
      <c r="F1418" s="278" t="e">
        <f t="shared" si="21"/>
        <v>#VALUE!</v>
      </c>
      <c r="G1418" s="263" t="e">
        <v>#N/A</v>
      </c>
      <c r="H1418" s="266" t="e">
        <v>#N/A</v>
      </c>
      <c r="I1418" s="267" t="e">
        <v>#N/A</v>
      </c>
      <c r="J1418" s="268" t="e">
        <v>#N/A</v>
      </c>
    </row>
    <row r="1419" spans="5:10" ht="12.75" hidden="1" customHeight="1" x14ac:dyDescent="0.25">
      <c r="E1419" s="305" t="e">
        <v>#VALUE!</v>
      </c>
      <c r="F1419" s="278" t="e">
        <f t="shared" si="21"/>
        <v>#VALUE!</v>
      </c>
      <c r="G1419" s="263" t="e">
        <v>#N/A</v>
      </c>
      <c r="H1419" s="266" t="e">
        <v>#N/A</v>
      </c>
      <c r="I1419" s="267" t="e">
        <v>#N/A</v>
      </c>
      <c r="J1419" s="268" t="e">
        <v>#N/A</v>
      </c>
    </row>
    <row r="1420" spans="5:10" ht="12.75" hidden="1" customHeight="1" x14ac:dyDescent="0.25">
      <c r="E1420" s="305" t="e">
        <v>#VALUE!</v>
      </c>
      <c r="F1420" s="278" t="e">
        <f t="shared" si="21"/>
        <v>#VALUE!</v>
      </c>
      <c r="G1420" s="263" t="e">
        <v>#N/A</v>
      </c>
      <c r="H1420" s="266" t="e">
        <v>#N/A</v>
      </c>
      <c r="I1420" s="267" t="e">
        <v>#N/A</v>
      </c>
      <c r="J1420" s="268" t="e">
        <v>#N/A</v>
      </c>
    </row>
    <row r="1421" spans="5:10" ht="12.75" hidden="1" customHeight="1" x14ac:dyDescent="0.25">
      <c r="E1421" s="305" t="e">
        <v>#VALUE!</v>
      </c>
      <c r="F1421" s="278" t="e">
        <f t="shared" si="21"/>
        <v>#VALUE!</v>
      </c>
      <c r="G1421" s="263" t="e">
        <v>#N/A</v>
      </c>
      <c r="H1421" s="266" t="e">
        <v>#N/A</v>
      </c>
      <c r="I1421" s="267" t="e">
        <v>#N/A</v>
      </c>
      <c r="J1421" s="268" t="e">
        <v>#N/A</v>
      </c>
    </row>
    <row r="1422" spans="5:10" ht="12.75" hidden="1" customHeight="1" x14ac:dyDescent="0.25">
      <c r="E1422" s="305" t="e">
        <v>#VALUE!</v>
      </c>
      <c r="F1422" s="278" t="e">
        <f t="shared" si="21"/>
        <v>#VALUE!</v>
      </c>
      <c r="G1422" s="263" t="e">
        <v>#N/A</v>
      </c>
      <c r="H1422" s="266" t="e">
        <v>#N/A</v>
      </c>
      <c r="I1422" s="267" t="e">
        <v>#N/A</v>
      </c>
      <c r="J1422" s="268" t="e">
        <v>#N/A</v>
      </c>
    </row>
    <row r="1423" spans="5:10" ht="12.75" hidden="1" customHeight="1" x14ac:dyDescent="0.25">
      <c r="E1423" s="305" t="e">
        <v>#VALUE!</v>
      </c>
      <c r="F1423" s="278" t="e">
        <f t="shared" si="21"/>
        <v>#VALUE!</v>
      </c>
      <c r="G1423" s="263" t="e">
        <v>#N/A</v>
      </c>
      <c r="H1423" s="266" t="e">
        <v>#N/A</v>
      </c>
      <c r="I1423" s="267" t="e">
        <v>#N/A</v>
      </c>
      <c r="J1423" s="268" t="e">
        <v>#N/A</v>
      </c>
    </row>
    <row r="1424" spans="5:10" ht="12.75" hidden="1" customHeight="1" x14ac:dyDescent="0.25">
      <c r="E1424" s="305" t="e">
        <v>#VALUE!</v>
      </c>
      <c r="F1424" s="278" t="e">
        <f t="shared" si="21"/>
        <v>#VALUE!</v>
      </c>
      <c r="G1424" s="263" t="e">
        <v>#N/A</v>
      </c>
      <c r="H1424" s="266" t="e">
        <v>#N/A</v>
      </c>
      <c r="I1424" s="267" t="e">
        <v>#N/A</v>
      </c>
      <c r="J1424" s="268" t="e">
        <v>#N/A</v>
      </c>
    </row>
    <row r="1425" spans="5:10" ht="12.75" hidden="1" customHeight="1" x14ac:dyDescent="0.25">
      <c r="E1425" s="305" t="e">
        <v>#VALUE!</v>
      </c>
      <c r="F1425" s="278" t="e">
        <f t="shared" si="21"/>
        <v>#VALUE!</v>
      </c>
      <c r="G1425" s="263" t="e">
        <v>#N/A</v>
      </c>
      <c r="H1425" s="266" t="e">
        <v>#N/A</v>
      </c>
      <c r="I1425" s="267" t="e">
        <v>#N/A</v>
      </c>
      <c r="J1425" s="268" t="e">
        <v>#N/A</v>
      </c>
    </row>
    <row r="1426" spans="5:10" ht="12.75" hidden="1" customHeight="1" x14ac:dyDescent="0.25">
      <c r="E1426" s="305" t="e">
        <v>#VALUE!</v>
      </c>
      <c r="F1426" s="278" t="e">
        <f t="shared" si="21"/>
        <v>#VALUE!</v>
      </c>
      <c r="G1426" s="263" t="e">
        <v>#N/A</v>
      </c>
      <c r="H1426" s="266" t="e">
        <v>#N/A</v>
      </c>
      <c r="I1426" s="267" t="e">
        <v>#N/A</v>
      </c>
      <c r="J1426" s="268" t="e">
        <v>#N/A</v>
      </c>
    </row>
    <row r="1427" spans="5:10" ht="12.75" hidden="1" customHeight="1" x14ac:dyDescent="0.25">
      <c r="E1427" s="305" t="e">
        <v>#VALUE!</v>
      </c>
      <c r="F1427" s="278" t="e">
        <f t="shared" si="21"/>
        <v>#VALUE!</v>
      </c>
      <c r="G1427" s="263" t="e">
        <v>#N/A</v>
      </c>
      <c r="H1427" s="266" t="e">
        <v>#N/A</v>
      </c>
      <c r="I1427" s="267" t="e">
        <v>#N/A</v>
      </c>
      <c r="J1427" s="268" t="e">
        <v>#N/A</v>
      </c>
    </row>
    <row r="1428" spans="5:10" ht="12.75" hidden="1" customHeight="1" x14ac:dyDescent="0.25">
      <c r="E1428" s="305" t="e">
        <v>#VALUE!</v>
      </c>
      <c r="F1428" s="278" t="e">
        <f t="shared" si="21"/>
        <v>#VALUE!</v>
      </c>
      <c r="G1428" s="263" t="e">
        <v>#N/A</v>
      </c>
      <c r="H1428" s="266" t="e">
        <v>#N/A</v>
      </c>
      <c r="I1428" s="267" t="e">
        <v>#N/A</v>
      </c>
      <c r="J1428" s="268" t="e">
        <v>#N/A</v>
      </c>
    </row>
    <row r="1429" spans="5:10" ht="12.75" hidden="1" customHeight="1" x14ac:dyDescent="0.25">
      <c r="E1429" s="305" t="e">
        <v>#VALUE!</v>
      </c>
      <c r="F1429" s="278" t="e">
        <f t="shared" si="21"/>
        <v>#VALUE!</v>
      </c>
      <c r="G1429" s="263" t="e">
        <v>#N/A</v>
      </c>
      <c r="H1429" s="266" t="e">
        <v>#N/A</v>
      </c>
      <c r="I1429" s="267" t="e">
        <v>#N/A</v>
      </c>
      <c r="J1429" s="268" t="e">
        <v>#N/A</v>
      </c>
    </row>
    <row r="1430" spans="5:10" ht="12.75" hidden="1" customHeight="1" x14ac:dyDescent="0.25">
      <c r="E1430" s="305" t="e">
        <v>#VALUE!</v>
      </c>
      <c r="F1430" s="278" t="e">
        <f t="shared" si="21"/>
        <v>#VALUE!</v>
      </c>
      <c r="G1430" s="263" t="e">
        <v>#N/A</v>
      </c>
      <c r="H1430" s="266" t="e">
        <v>#N/A</v>
      </c>
      <c r="I1430" s="267" t="e">
        <v>#N/A</v>
      </c>
      <c r="J1430" s="268" t="e">
        <v>#N/A</v>
      </c>
    </row>
    <row r="1431" spans="5:10" ht="12.75" hidden="1" customHeight="1" x14ac:dyDescent="0.25">
      <c r="E1431" s="305" t="e">
        <v>#VALUE!</v>
      </c>
      <c r="F1431" s="278" t="e">
        <f t="shared" si="21"/>
        <v>#VALUE!</v>
      </c>
      <c r="G1431" s="263" t="e">
        <v>#N/A</v>
      </c>
      <c r="H1431" s="266" t="e">
        <v>#N/A</v>
      </c>
      <c r="I1431" s="267" t="e">
        <v>#N/A</v>
      </c>
      <c r="J1431" s="268" t="e">
        <v>#N/A</v>
      </c>
    </row>
    <row r="1432" spans="5:10" ht="12.75" hidden="1" customHeight="1" x14ac:dyDescent="0.25">
      <c r="E1432" s="305" t="e">
        <v>#VALUE!</v>
      </c>
      <c r="F1432" s="278" t="e">
        <f t="shared" si="21"/>
        <v>#VALUE!</v>
      </c>
      <c r="G1432" s="263" t="e">
        <v>#N/A</v>
      </c>
      <c r="H1432" s="266" t="e">
        <v>#N/A</v>
      </c>
      <c r="I1432" s="267" t="e">
        <v>#N/A</v>
      </c>
      <c r="J1432" s="268" t="e">
        <v>#N/A</v>
      </c>
    </row>
    <row r="1433" spans="5:10" ht="12.75" hidden="1" customHeight="1" x14ac:dyDescent="0.25">
      <c r="E1433" s="305" t="e">
        <v>#VALUE!</v>
      </c>
      <c r="F1433" s="278" t="e">
        <f t="shared" si="21"/>
        <v>#VALUE!</v>
      </c>
      <c r="G1433" s="263" t="e">
        <v>#N/A</v>
      </c>
      <c r="H1433" s="266" t="e">
        <v>#N/A</v>
      </c>
      <c r="I1433" s="267" t="e">
        <v>#N/A</v>
      </c>
      <c r="J1433" s="268" t="e">
        <v>#N/A</v>
      </c>
    </row>
    <row r="1434" spans="5:10" ht="12.75" hidden="1" customHeight="1" x14ac:dyDescent="0.25">
      <c r="E1434" s="305" t="e">
        <v>#VALUE!</v>
      </c>
      <c r="F1434" s="278" t="e">
        <f t="shared" si="21"/>
        <v>#VALUE!</v>
      </c>
      <c r="G1434" s="263" t="e">
        <v>#N/A</v>
      </c>
      <c r="H1434" s="266" t="e">
        <v>#N/A</v>
      </c>
      <c r="I1434" s="267" t="e">
        <v>#N/A</v>
      </c>
      <c r="J1434" s="268" t="e">
        <v>#N/A</v>
      </c>
    </row>
    <row r="1435" spans="5:10" ht="12.75" hidden="1" customHeight="1" x14ac:dyDescent="0.25">
      <c r="E1435" s="305" t="e">
        <v>#VALUE!</v>
      </c>
      <c r="F1435" s="278" t="e">
        <f t="shared" si="21"/>
        <v>#VALUE!</v>
      </c>
      <c r="G1435" s="263" t="e">
        <v>#N/A</v>
      </c>
      <c r="H1435" s="266" t="e">
        <v>#N/A</v>
      </c>
      <c r="I1435" s="267" t="e">
        <v>#N/A</v>
      </c>
      <c r="J1435" s="268" t="e">
        <v>#N/A</v>
      </c>
    </row>
    <row r="1436" spans="5:10" ht="12.75" hidden="1" customHeight="1" x14ac:dyDescent="0.25">
      <c r="E1436" s="305" t="e">
        <v>#VALUE!</v>
      </c>
      <c r="F1436" s="278" t="e">
        <f t="shared" si="21"/>
        <v>#VALUE!</v>
      </c>
      <c r="G1436" s="263" t="e">
        <v>#N/A</v>
      </c>
      <c r="H1436" s="266" t="e">
        <v>#N/A</v>
      </c>
      <c r="I1436" s="267" t="e">
        <v>#N/A</v>
      </c>
      <c r="J1436" s="268" t="e">
        <v>#N/A</v>
      </c>
    </row>
    <row r="1437" spans="5:10" ht="12.75" hidden="1" customHeight="1" x14ac:dyDescent="0.25">
      <c r="E1437" s="305" t="e">
        <v>#VALUE!</v>
      </c>
      <c r="F1437" s="278" t="e">
        <f t="shared" si="21"/>
        <v>#VALUE!</v>
      </c>
      <c r="G1437" s="263" t="e">
        <v>#N/A</v>
      </c>
      <c r="H1437" s="266" t="e">
        <v>#N/A</v>
      </c>
      <c r="I1437" s="267" t="e">
        <v>#N/A</v>
      </c>
      <c r="J1437" s="268" t="e">
        <v>#N/A</v>
      </c>
    </row>
    <row r="1438" spans="5:10" ht="12.75" hidden="1" customHeight="1" x14ac:dyDescent="0.25">
      <c r="E1438" s="305" t="e">
        <v>#VALUE!</v>
      </c>
      <c r="F1438" s="278" t="e">
        <f t="shared" si="21"/>
        <v>#VALUE!</v>
      </c>
      <c r="G1438" s="263" t="e">
        <v>#N/A</v>
      </c>
      <c r="H1438" s="266" t="e">
        <v>#N/A</v>
      </c>
      <c r="I1438" s="267" t="e">
        <v>#N/A</v>
      </c>
      <c r="J1438" s="268" t="e">
        <v>#N/A</v>
      </c>
    </row>
    <row r="1439" spans="5:10" ht="12.75" hidden="1" customHeight="1" x14ac:dyDescent="0.25">
      <c r="E1439" s="305" t="e">
        <v>#VALUE!</v>
      </c>
      <c r="F1439" s="278" t="e">
        <f t="shared" si="21"/>
        <v>#VALUE!</v>
      </c>
      <c r="G1439" s="263" t="e">
        <v>#N/A</v>
      </c>
      <c r="H1439" s="266" t="e">
        <v>#N/A</v>
      </c>
      <c r="I1439" s="267" t="e">
        <v>#N/A</v>
      </c>
      <c r="J1439" s="268" t="e">
        <v>#N/A</v>
      </c>
    </row>
    <row r="1440" spans="5:10" ht="12.75" hidden="1" customHeight="1" x14ac:dyDescent="0.25">
      <c r="E1440" s="305" t="e">
        <v>#VALUE!</v>
      </c>
      <c r="F1440" s="278" t="e">
        <f t="shared" si="21"/>
        <v>#VALUE!</v>
      </c>
      <c r="G1440" s="263" t="e">
        <v>#N/A</v>
      </c>
      <c r="H1440" s="266" t="e">
        <v>#N/A</v>
      </c>
      <c r="I1440" s="267" t="e">
        <v>#N/A</v>
      </c>
      <c r="J1440" s="268" t="e">
        <v>#N/A</v>
      </c>
    </row>
    <row r="1441" spans="5:10" ht="12.75" hidden="1" customHeight="1" x14ac:dyDescent="0.25">
      <c r="E1441" s="305" t="e">
        <v>#VALUE!</v>
      </c>
      <c r="F1441" s="278" t="e">
        <f t="shared" si="21"/>
        <v>#VALUE!</v>
      </c>
      <c r="G1441" s="263" t="e">
        <v>#N/A</v>
      </c>
      <c r="H1441" s="266" t="e">
        <v>#N/A</v>
      </c>
      <c r="I1441" s="267" t="e">
        <v>#N/A</v>
      </c>
      <c r="J1441" s="268" t="e">
        <v>#N/A</v>
      </c>
    </row>
    <row r="1442" spans="5:10" ht="12.75" hidden="1" customHeight="1" x14ac:dyDescent="0.25">
      <c r="E1442" s="305" t="e">
        <v>#VALUE!</v>
      </c>
      <c r="F1442" s="278" t="e">
        <f t="shared" si="21"/>
        <v>#VALUE!</v>
      </c>
      <c r="G1442" s="263" t="e">
        <v>#N/A</v>
      </c>
      <c r="H1442" s="266" t="e">
        <v>#N/A</v>
      </c>
      <c r="I1442" s="267" t="e">
        <v>#N/A</v>
      </c>
      <c r="J1442" s="268" t="e">
        <v>#N/A</v>
      </c>
    </row>
    <row r="1443" spans="5:10" ht="12.75" hidden="1" customHeight="1" x14ac:dyDescent="0.25">
      <c r="E1443" s="305" t="e">
        <v>#VALUE!</v>
      </c>
      <c r="F1443" s="278" t="e">
        <f t="shared" si="21"/>
        <v>#VALUE!</v>
      </c>
      <c r="G1443" s="263" t="e">
        <v>#N/A</v>
      </c>
      <c r="H1443" s="266" t="e">
        <v>#N/A</v>
      </c>
      <c r="I1443" s="267" t="e">
        <v>#N/A</v>
      </c>
      <c r="J1443" s="268" t="e">
        <v>#N/A</v>
      </c>
    </row>
    <row r="1444" spans="5:10" ht="12.75" hidden="1" customHeight="1" x14ac:dyDescent="0.25">
      <c r="E1444" s="305" t="e">
        <v>#VALUE!</v>
      </c>
      <c r="F1444" s="278" t="e">
        <f t="shared" si="21"/>
        <v>#VALUE!</v>
      </c>
      <c r="G1444" s="263" t="e">
        <v>#N/A</v>
      </c>
      <c r="H1444" s="266" t="e">
        <v>#N/A</v>
      </c>
      <c r="I1444" s="267" t="e">
        <v>#N/A</v>
      </c>
      <c r="J1444" s="268" t="e">
        <v>#N/A</v>
      </c>
    </row>
    <row r="1445" spans="5:10" ht="12.75" hidden="1" customHeight="1" x14ac:dyDescent="0.25">
      <c r="E1445" s="305" t="e">
        <v>#VALUE!</v>
      </c>
      <c r="F1445" s="278" t="e">
        <f t="shared" si="21"/>
        <v>#VALUE!</v>
      </c>
      <c r="G1445" s="263" t="e">
        <v>#N/A</v>
      </c>
      <c r="H1445" s="266" t="e">
        <v>#N/A</v>
      </c>
      <c r="I1445" s="267" t="e">
        <v>#N/A</v>
      </c>
      <c r="J1445" s="268" t="e">
        <v>#N/A</v>
      </c>
    </row>
    <row r="1446" spans="5:10" ht="12.75" hidden="1" customHeight="1" x14ac:dyDescent="0.25">
      <c r="E1446" s="305" t="e">
        <v>#VALUE!</v>
      </c>
      <c r="F1446" s="278" t="e">
        <f t="shared" si="21"/>
        <v>#VALUE!</v>
      </c>
      <c r="G1446" s="263" t="e">
        <v>#N/A</v>
      </c>
      <c r="H1446" s="266" t="e">
        <v>#N/A</v>
      </c>
      <c r="I1446" s="267" t="e">
        <v>#N/A</v>
      </c>
      <c r="J1446" s="268" t="e">
        <v>#N/A</v>
      </c>
    </row>
    <row r="1447" spans="5:10" ht="12.75" hidden="1" customHeight="1" x14ac:dyDescent="0.25">
      <c r="E1447" s="305" t="e">
        <v>#VALUE!</v>
      </c>
      <c r="F1447" s="278" t="e">
        <f t="shared" si="21"/>
        <v>#VALUE!</v>
      </c>
      <c r="G1447" s="263" t="e">
        <v>#N/A</v>
      </c>
      <c r="H1447" s="266" t="e">
        <v>#N/A</v>
      </c>
      <c r="I1447" s="267" t="e">
        <v>#N/A</v>
      </c>
      <c r="J1447" s="268" t="e">
        <v>#N/A</v>
      </c>
    </row>
    <row r="1448" spans="5:10" ht="12.75" hidden="1" customHeight="1" x14ac:dyDescent="0.25">
      <c r="E1448" s="305" t="e">
        <v>#VALUE!</v>
      </c>
      <c r="F1448" s="278" t="e">
        <f t="shared" si="21"/>
        <v>#VALUE!</v>
      </c>
      <c r="G1448" s="263" t="e">
        <v>#N/A</v>
      </c>
      <c r="H1448" s="266" t="e">
        <v>#N/A</v>
      </c>
      <c r="I1448" s="267" t="e">
        <v>#N/A</v>
      </c>
      <c r="J1448" s="268" t="e">
        <v>#N/A</v>
      </c>
    </row>
    <row r="1449" spans="5:10" ht="12.75" hidden="1" customHeight="1" x14ac:dyDescent="0.25">
      <c r="E1449" s="305" t="e">
        <v>#VALUE!</v>
      </c>
      <c r="F1449" s="278" t="e">
        <f t="shared" si="21"/>
        <v>#VALUE!</v>
      </c>
      <c r="G1449" s="263" t="e">
        <v>#N/A</v>
      </c>
      <c r="H1449" s="266" t="e">
        <v>#N/A</v>
      </c>
      <c r="I1449" s="267" t="e">
        <v>#N/A</v>
      </c>
      <c r="J1449" s="268" t="e">
        <v>#N/A</v>
      </c>
    </row>
    <row r="1450" spans="5:10" ht="12.75" hidden="1" customHeight="1" x14ac:dyDescent="0.25">
      <c r="E1450" s="305" t="e">
        <v>#VALUE!</v>
      </c>
      <c r="F1450" s="278" t="e">
        <f t="shared" si="21"/>
        <v>#VALUE!</v>
      </c>
      <c r="G1450" s="263" t="e">
        <v>#N/A</v>
      </c>
      <c r="H1450" s="266" t="e">
        <v>#N/A</v>
      </c>
      <c r="I1450" s="267" t="e">
        <v>#N/A</v>
      </c>
      <c r="J1450" s="268" t="e">
        <v>#N/A</v>
      </c>
    </row>
    <row r="1451" spans="5:10" ht="12.75" hidden="1" customHeight="1" x14ac:dyDescent="0.25">
      <c r="E1451" s="305" t="e">
        <v>#VALUE!</v>
      </c>
      <c r="F1451" s="278" t="e">
        <f t="shared" si="21"/>
        <v>#VALUE!</v>
      </c>
      <c r="G1451" s="263" t="e">
        <v>#N/A</v>
      </c>
      <c r="H1451" s="266" t="e">
        <v>#N/A</v>
      </c>
      <c r="I1451" s="267" t="e">
        <v>#N/A</v>
      </c>
      <c r="J1451" s="268" t="e">
        <v>#N/A</v>
      </c>
    </row>
    <row r="1452" spans="5:10" ht="12.75" hidden="1" customHeight="1" x14ac:dyDescent="0.25">
      <c r="E1452" s="305" t="e">
        <v>#VALUE!</v>
      </c>
      <c r="F1452" s="278" t="e">
        <f t="shared" ref="F1452:F1515" si="22">C1452-D1452+E1452</f>
        <v>#VALUE!</v>
      </c>
      <c r="G1452" s="263" t="e">
        <v>#N/A</v>
      </c>
      <c r="H1452" s="266" t="e">
        <v>#N/A</v>
      </c>
      <c r="I1452" s="267" t="e">
        <v>#N/A</v>
      </c>
      <c r="J1452" s="268" t="e">
        <v>#N/A</v>
      </c>
    </row>
    <row r="1453" spans="5:10" ht="12.75" hidden="1" customHeight="1" x14ac:dyDescent="0.25">
      <c r="E1453" s="305" t="e">
        <v>#VALUE!</v>
      </c>
      <c r="F1453" s="278" t="e">
        <f t="shared" si="22"/>
        <v>#VALUE!</v>
      </c>
      <c r="G1453" s="263" t="e">
        <v>#N/A</v>
      </c>
      <c r="H1453" s="266" t="e">
        <v>#N/A</v>
      </c>
      <c r="I1453" s="267" t="e">
        <v>#N/A</v>
      </c>
      <c r="J1453" s="268" t="e">
        <v>#N/A</v>
      </c>
    </row>
    <row r="1454" spans="5:10" ht="12.75" hidden="1" customHeight="1" x14ac:dyDescent="0.25">
      <c r="E1454" s="305" t="e">
        <v>#VALUE!</v>
      </c>
      <c r="F1454" s="278" t="e">
        <f t="shared" si="22"/>
        <v>#VALUE!</v>
      </c>
      <c r="G1454" s="263" t="e">
        <v>#N/A</v>
      </c>
      <c r="H1454" s="266" t="e">
        <v>#N/A</v>
      </c>
      <c r="I1454" s="267" t="e">
        <v>#N/A</v>
      </c>
      <c r="J1454" s="268" t="e">
        <v>#N/A</v>
      </c>
    </row>
    <row r="1455" spans="5:10" ht="12.75" hidden="1" customHeight="1" x14ac:dyDescent="0.25">
      <c r="E1455" s="305" t="e">
        <v>#VALUE!</v>
      </c>
      <c r="F1455" s="278" t="e">
        <f t="shared" si="22"/>
        <v>#VALUE!</v>
      </c>
      <c r="G1455" s="263" t="e">
        <v>#N/A</v>
      </c>
      <c r="H1455" s="266" t="e">
        <v>#N/A</v>
      </c>
      <c r="I1455" s="267" t="e">
        <v>#N/A</v>
      </c>
      <c r="J1455" s="268" t="e">
        <v>#N/A</v>
      </c>
    </row>
    <row r="1456" spans="5:10" ht="12.75" hidden="1" customHeight="1" x14ac:dyDescent="0.25">
      <c r="E1456" s="305" t="e">
        <v>#VALUE!</v>
      </c>
      <c r="F1456" s="278" t="e">
        <f t="shared" si="22"/>
        <v>#VALUE!</v>
      </c>
      <c r="G1456" s="263" t="e">
        <v>#N/A</v>
      </c>
      <c r="H1456" s="266" t="e">
        <v>#N/A</v>
      </c>
      <c r="I1456" s="267" t="e">
        <v>#N/A</v>
      </c>
      <c r="J1456" s="268" t="e">
        <v>#N/A</v>
      </c>
    </row>
    <row r="1457" spans="5:10" ht="12.75" hidden="1" customHeight="1" x14ac:dyDescent="0.25">
      <c r="E1457" s="305" t="e">
        <v>#VALUE!</v>
      </c>
      <c r="F1457" s="278" t="e">
        <f t="shared" si="22"/>
        <v>#VALUE!</v>
      </c>
      <c r="G1457" s="263" t="e">
        <v>#N/A</v>
      </c>
      <c r="H1457" s="266" t="e">
        <v>#N/A</v>
      </c>
      <c r="I1457" s="267" t="e">
        <v>#N/A</v>
      </c>
      <c r="J1457" s="268" t="e">
        <v>#N/A</v>
      </c>
    </row>
    <row r="1458" spans="5:10" ht="12.75" hidden="1" customHeight="1" x14ac:dyDescent="0.25">
      <c r="E1458" s="305" t="e">
        <v>#VALUE!</v>
      </c>
      <c r="F1458" s="278" t="e">
        <f t="shared" si="22"/>
        <v>#VALUE!</v>
      </c>
      <c r="G1458" s="263" t="e">
        <v>#N/A</v>
      </c>
      <c r="H1458" s="266" t="e">
        <v>#N/A</v>
      </c>
      <c r="I1458" s="267" t="e">
        <v>#N/A</v>
      </c>
      <c r="J1458" s="268" t="e">
        <v>#N/A</v>
      </c>
    </row>
    <row r="1459" spans="5:10" ht="12.75" hidden="1" customHeight="1" x14ac:dyDescent="0.25">
      <c r="E1459" s="305" t="e">
        <v>#VALUE!</v>
      </c>
      <c r="F1459" s="278" t="e">
        <f t="shared" si="22"/>
        <v>#VALUE!</v>
      </c>
      <c r="G1459" s="263" t="e">
        <v>#N/A</v>
      </c>
      <c r="H1459" s="266" t="e">
        <v>#N/A</v>
      </c>
      <c r="I1459" s="267" t="e">
        <v>#N/A</v>
      </c>
      <c r="J1459" s="268" t="e">
        <v>#N/A</v>
      </c>
    </row>
    <row r="1460" spans="5:10" ht="12.75" hidden="1" customHeight="1" x14ac:dyDescent="0.25">
      <c r="E1460" s="305" t="e">
        <v>#VALUE!</v>
      </c>
      <c r="F1460" s="278" t="e">
        <f t="shared" si="22"/>
        <v>#VALUE!</v>
      </c>
      <c r="G1460" s="263" t="e">
        <v>#N/A</v>
      </c>
      <c r="H1460" s="266" t="e">
        <v>#N/A</v>
      </c>
      <c r="I1460" s="267" t="e">
        <v>#N/A</v>
      </c>
      <c r="J1460" s="268" t="e">
        <v>#N/A</v>
      </c>
    </row>
    <row r="1461" spans="5:10" ht="12.75" hidden="1" customHeight="1" x14ac:dyDescent="0.25">
      <c r="E1461" s="305" t="e">
        <v>#VALUE!</v>
      </c>
      <c r="F1461" s="278" t="e">
        <f t="shared" si="22"/>
        <v>#VALUE!</v>
      </c>
      <c r="G1461" s="263" t="e">
        <v>#N/A</v>
      </c>
      <c r="H1461" s="266" t="e">
        <v>#N/A</v>
      </c>
      <c r="I1461" s="267" t="e">
        <v>#N/A</v>
      </c>
      <c r="J1461" s="268" t="e">
        <v>#N/A</v>
      </c>
    </row>
    <row r="1462" spans="5:10" ht="12.75" hidden="1" customHeight="1" x14ac:dyDescent="0.25">
      <c r="E1462" s="305" t="e">
        <v>#VALUE!</v>
      </c>
      <c r="F1462" s="278" t="e">
        <f t="shared" si="22"/>
        <v>#VALUE!</v>
      </c>
      <c r="G1462" s="263" t="e">
        <v>#N/A</v>
      </c>
      <c r="H1462" s="266" t="e">
        <v>#N/A</v>
      </c>
      <c r="I1462" s="267" t="e">
        <v>#N/A</v>
      </c>
      <c r="J1462" s="268" t="e">
        <v>#N/A</v>
      </c>
    </row>
    <row r="1463" spans="5:10" ht="12.75" hidden="1" customHeight="1" x14ac:dyDescent="0.25">
      <c r="E1463" s="305" t="e">
        <v>#VALUE!</v>
      </c>
      <c r="F1463" s="278" t="e">
        <f t="shared" si="22"/>
        <v>#VALUE!</v>
      </c>
      <c r="G1463" s="263" t="e">
        <v>#N/A</v>
      </c>
      <c r="H1463" s="266" t="e">
        <v>#N/A</v>
      </c>
      <c r="I1463" s="267" t="e">
        <v>#N/A</v>
      </c>
      <c r="J1463" s="268" t="e">
        <v>#N/A</v>
      </c>
    </row>
    <row r="1464" spans="5:10" ht="12.75" hidden="1" customHeight="1" x14ac:dyDescent="0.25">
      <c r="E1464" s="305" t="e">
        <v>#VALUE!</v>
      </c>
      <c r="F1464" s="278" t="e">
        <f t="shared" si="22"/>
        <v>#VALUE!</v>
      </c>
      <c r="G1464" s="263" t="e">
        <v>#N/A</v>
      </c>
      <c r="H1464" s="266" t="e">
        <v>#N/A</v>
      </c>
      <c r="I1464" s="267" t="e">
        <v>#N/A</v>
      </c>
      <c r="J1464" s="268" t="e">
        <v>#N/A</v>
      </c>
    </row>
    <row r="1465" spans="5:10" ht="12.75" hidden="1" customHeight="1" x14ac:dyDescent="0.25">
      <c r="E1465" s="305" t="e">
        <v>#VALUE!</v>
      </c>
      <c r="F1465" s="278" t="e">
        <f t="shared" si="22"/>
        <v>#VALUE!</v>
      </c>
      <c r="G1465" s="263" t="e">
        <v>#N/A</v>
      </c>
      <c r="H1465" s="266" t="e">
        <v>#N/A</v>
      </c>
      <c r="I1465" s="267" t="e">
        <v>#N/A</v>
      </c>
      <c r="J1465" s="268" t="e">
        <v>#N/A</v>
      </c>
    </row>
    <row r="1466" spans="5:10" ht="12.75" hidden="1" customHeight="1" x14ac:dyDescent="0.25">
      <c r="E1466" s="305" t="e">
        <v>#VALUE!</v>
      </c>
      <c r="F1466" s="278" t="e">
        <f t="shared" si="22"/>
        <v>#VALUE!</v>
      </c>
      <c r="G1466" s="263" t="e">
        <v>#N/A</v>
      </c>
      <c r="H1466" s="266" t="e">
        <v>#N/A</v>
      </c>
      <c r="I1466" s="267" t="e">
        <v>#N/A</v>
      </c>
      <c r="J1466" s="268" t="e">
        <v>#N/A</v>
      </c>
    </row>
    <row r="1467" spans="5:10" ht="12.75" hidden="1" customHeight="1" x14ac:dyDescent="0.25">
      <c r="E1467" s="305" t="e">
        <v>#VALUE!</v>
      </c>
      <c r="F1467" s="278" t="e">
        <f t="shared" si="22"/>
        <v>#VALUE!</v>
      </c>
      <c r="G1467" s="263" t="e">
        <v>#N/A</v>
      </c>
      <c r="H1467" s="266" t="e">
        <v>#N/A</v>
      </c>
      <c r="I1467" s="267" t="e">
        <v>#N/A</v>
      </c>
      <c r="J1467" s="268" t="e">
        <v>#N/A</v>
      </c>
    </row>
    <row r="1468" spans="5:10" ht="12.75" hidden="1" customHeight="1" x14ac:dyDescent="0.25">
      <c r="E1468" s="305" t="e">
        <v>#VALUE!</v>
      </c>
      <c r="F1468" s="278" t="e">
        <f t="shared" si="22"/>
        <v>#VALUE!</v>
      </c>
      <c r="G1468" s="263" t="e">
        <v>#N/A</v>
      </c>
      <c r="H1468" s="266" t="e">
        <v>#N/A</v>
      </c>
      <c r="I1468" s="267" t="e">
        <v>#N/A</v>
      </c>
      <c r="J1468" s="268" t="e">
        <v>#N/A</v>
      </c>
    </row>
    <row r="1469" spans="5:10" ht="12.75" hidden="1" customHeight="1" x14ac:dyDescent="0.25">
      <c r="E1469" s="305" t="e">
        <v>#VALUE!</v>
      </c>
      <c r="F1469" s="278" t="e">
        <f t="shared" si="22"/>
        <v>#VALUE!</v>
      </c>
      <c r="G1469" s="263" t="e">
        <v>#N/A</v>
      </c>
      <c r="H1469" s="266" t="e">
        <v>#N/A</v>
      </c>
      <c r="I1469" s="267" t="e">
        <v>#N/A</v>
      </c>
      <c r="J1469" s="268" t="e">
        <v>#N/A</v>
      </c>
    </row>
    <row r="1470" spans="5:10" ht="12.75" hidden="1" customHeight="1" x14ac:dyDescent="0.25">
      <c r="E1470" s="305" t="e">
        <v>#VALUE!</v>
      </c>
      <c r="F1470" s="278" t="e">
        <f t="shared" si="22"/>
        <v>#VALUE!</v>
      </c>
      <c r="G1470" s="263" t="e">
        <v>#N/A</v>
      </c>
      <c r="H1470" s="266" t="e">
        <v>#N/A</v>
      </c>
      <c r="I1470" s="267" t="e">
        <v>#N/A</v>
      </c>
      <c r="J1470" s="268" t="e">
        <v>#N/A</v>
      </c>
    </row>
    <row r="1471" spans="5:10" ht="12.75" hidden="1" customHeight="1" x14ac:dyDescent="0.25">
      <c r="E1471" s="305" t="e">
        <v>#VALUE!</v>
      </c>
      <c r="F1471" s="278" t="e">
        <f t="shared" si="22"/>
        <v>#VALUE!</v>
      </c>
      <c r="G1471" s="263" t="e">
        <v>#N/A</v>
      </c>
      <c r="H1471" s="266" t="e">
        <v>#N/A</v>
      </c>
      <c r="I1471" s="267" t="e">
        <v>#N/A</v>
      </c>
      <c r="J1471" s="268" t="e">
        <v>#N/A</v>
      </c>
    </row>
    <row r="1472" spans="5:10" ht="12.75" hidden="1" customHeight="1" x14ac:dyDescent="0.25">
      <c r="E1472" s="305" t="e">
        <v>#VALUE!</v>
      </c>
      <c r="F1472" s="278" t="e">
        <f t="shared" si="22"/>
        <v>#VALUE!</v>
      </c>
      <c r="G1472" s="263" t="e">
        <v>#N/A</v>
      </c>
      <c r="H1472" s="266" t="e">
        <v>#N/A</v>
      </c>
      <c r="I1472" s="267" t="e">
        <v>#N/A</v>
      </c>
      <c r="J1472" s="268" t="e">
        <v>#N/A</v>
      </c>
    </row>
    <row r="1473" spans="5:10" ht="12.75" hidden="1" customHeight="1" x14ac:dyDescent="0.25">
      <c r="E1473" s="305" t="e">
        <v>#VALUE!</v>
      </c>
      <c r="F1473" s="278" t="e">
        <f t="shared" si="22"/>
        <v>#VALUE!</v>
      </c>
      <c r="G1473" s="263" t="e">
        <v>#N/A</v>
      </c>
      <c r="H1473" s="266" t="e">
        <v>#N/A</v>
      </c>
      <c r="I1473" s="267" t="e">
        <v>#N/A</v>
      </c>
      <c r="J1473" s="268" t="e">
        <v>#N/A</v>
      </c>
    </row>
    <row r="1474" spans="5:10" ht="12.75" hidden="1" customHeight="1" x14ac:dyDescent="0.25">
      <c r="E1474" s="305" t="e">
        <v>#VALUE!</v>
      </c>
      <c r="F1474" s="278" t="e">
        <f t="shared" si="22"/>
        <v>#VALUE!</v>
      </c>
      <c r="G1474" s="263" t="e">
        <v>#N/A</v>
      </c>
      <c r="H1474" s="266" t="e">
        <v>#N/A</v>
      </c>
      <c r="I1474" s="267" t="e">
        <v>#N/A</v>
      </c>
      <c r="J1474" s="268" t="e">
        <v>#N/A</v>
      </c>
    </row>
    <row r="1475" spans="5:10" ht="12.75" hidden="1" customHeight="1" x14ac:dyDescent="0.25">
      <c r="E1475" s="305" t="e">
        <v>#VALUE!</v>
      </c>
      <c r="F1475" s="278" t="e">
        <f t="shared" si="22"/>
        <v>#VALUE!</v>
      </c>
      <c r="G1475" s="263" t="e">
        <v>#N/A</v>
      </c>
      <c r="H1475" s="266" t="e">
        <v>#N/A</v>
      </c>
      <c r="I1475" s="267" t="e">
        <v>#N/A</v>
      </c>
      <c r="J1475" s="268" t="e">
        <v>#N/A</v>
      </c>
    </row>
    <row r="1476" spans="5:10" ht="12.75" hidden="1" customHeight="1" x14ac:dyDescent="0.25">
      <c r="E1476" s="305" t="e">
        <v>#VALUE!</v>
      </c>
      <c r="F1476" s="278" t="e">
        <f t="shared" si="22"/>
        <v>#VALUE!</v>
      </c>
      <c r="G1476" s="263" t="e">
        <v>#N/A</v>
      </c>
      <c r="H1476" s="266" t="e">
        <v>#N/A</v>
      </c>
      <c r="I1476" s="267" t="e">
        <v>#N/A</v>
      </c>
      <c r="J1476" s="268" t="e">
        <v>#N/A</v>
      </c>
    </row>
    <row r="1477" spans="5:10" ht="12.75" hidden="1" customHeight="1" x14ac:dyDescent="0.25">
      <c r="E1477" s="305" t="e">
        <v>#VALUE!</v>
      </c>
      <c r="F1477" s="278" t="e">
        <f t="shared" si="22"/>
        <v>#VALUE!</v>
      </c>
      <c r="G1477" s="263" t="e">
        <v>#N/A</v>
      </c>
      <c r="H1477" s="266" t="e">
        <v>#N/A</v>
      </c>
      <c r="I1477" s="267" t="e">
        <v>#N/A</v>
      </c>
      <c r="J1477" s="268" t="e">
        <v>#N/A</v>
      </c>
    </row>
    <row r="1478" spans="5:10" ht="12.75" hidden="1" customHeight="1" x14ac:dyDescent="0.25">
      <c r="E1478" s="305" t="e">
        <v>#VALUE!</v>
      </c>
      <c r="F1478" s="278" t="e">
        <f t="shared" si="22"/>
        <v>#VALUE!</v>
      </c>
      <c r="G1478" s="263" t="e">
        <v>#N/A</v>
      </c>
      <c r="H1478" s="266" t="e">
        <v>#N/A</v>
      </c>
      <c r="I1478" s="267" t="e">
        <v>#N/A</v>
      </c>
      <c r="J1478" s="268" t="e">
        <v>#N/A</v>
      </c>
    </row>
    <row r="1479" spans="5:10" ht="12.75" hidden="1" customHeight="1" x14ac:dyDescent="0.25">
      <c r="E1479" s="305" t="e">
        <v>#VALUE!</v>
      </c>
      <c r="F1479" s="278" t="e">
        <f t="shared" si="22"/>
        <v>#VALUE!</v>
      </c>
      <c r="G1479" s="263" t="e">
        <v>#N/A</v>
      </c>
      <c r="H1479" s="266" t="e">
        <v>#N/A</v>
      </c>
      <c r="I1479" s="267" t="e">
        <v>#N/A</v>
      </c>
      <c r="J1479" s="268" t="e">
        <v>#N/A</v>
      </c>
    </row>
    <row r="1480" spans="5:10" ht="12.75" hidden="1" customHeight="1" x14ac:dyDescent="0.25">
      <c r="E1480" s="305" t="e">
        <v>#VALUE!</v>
      </c>
      <c r="F1480" s="278" t="e">
        <f t="shared" si="22"/>
        <v>#VALUE!</v>
      </c>
      <c r="G1480" s="263" t="e">
        <v>#N/A</v>
      </c>
      <c r="H1480" s="266" t="e">
        <v>#N/A</v>
      </c>
      <c r="I1480" s="267" t="e">
        <v>#N/A</v>
      </c>
      <c r="J1480" s="268" t="e">
        <v>#N/A</v>
      </c>
    </row>
    <row r="1481" spans="5:10" ht="12.75" hidden="1" customHeight="1" x14ac:dyDescent="0.25">
      <c r="E1481" s="305" t="e">
        <v>#VALUE!</v>
      </c>
      <c r="F1481" s="278" t="e">
        <f t="shared" si="22"/>
        <v>#VALUE!</v>
      </c>
      <c r="G1481" s="263" t="e">
        <v>#N/A</v>
      </c>
      <c r="H1481" s="266" t="e">
        <v>#N/A</v>
      </c>
      <c r="I1481" s="267" t="e">
        <v>#N/A</v>
      </c>
      <c r="J1481" s="268" t="e">
        <v>#N/A</v>
      </c>
    </row>
    <row r="1482" spans="5:10" ht="12.75" hidden="1" customHeight="1" x14ac:dyDescent="0.25">
      <c r="E1482" s="305" t="e">
        <v>#VALUE!</v>
      </c>
      <c r="F1482" s="278" t="e">
        <f t="shared" si="22"/>
        <v>#VALUE!</v>
      </c>
      <c r="G1482" s="263" t="e">
        <v>#N/A</v>
      </c>
      <c r="H1482" s="266" t="e">
        <v>#N/A</v>
      </c>
      <c r="I1482" s="267" t="e">
        <v>#N/A</v>
      </c>
      <c r="J1482" s="268" t="e">
        <v>#N/A</v>
      </c>
    </row>
    <row r="1483" spans="5:10" ht="12.75" hidden="1" customHeight="1" x14ac:dyDescent="0.25">
      <c r="E1483" s="305" t="e">
        <v>#VALUE!</v>
      </c>
      <c r="F1483" s="278" t="e">
        <f t="shared" si="22"/>
        <v>#VALUE!</v>
      </c>
      <c r="G1483" s="263" t="e">
        <v>#N/A</v>
      </c>
      <c r="H1483" s="266" t="e">
        <v>#N/A</v>
      </c>
      <c r="I1483" s="267" t="e">
        <v>#N/A</v>
      </c>
      <c r="J1483" s="268" t="e">
        <v>#N/A</v>
      </c>
    </row>
    <row r="1484" spans="5:10" ht="12.75" hidden="1" customHeight="1" x14ac:dyDescent="0.25">
      <c r="E1484" s="305" t="e">
        <v>#VALUE!</v>
      </c>
      <c r="F1484" s="278" t="e">
        <f t="shared" si="22"/>
        <v>#VALUE!</v>
      </c>
      <c r="G1484" s="263" t="e">
        <v>#N/A</v>
      </c>
      <c r="H1484" s="266" t="e">
        <v>#N/A</v>
      </c>
      <c r="I1484" s="267" t="e">
        <v>#N/A</v>
      </c>
      <c r="J1484" s="268" t="e">
        <v>#N/A</v>
      </c>
    </row>
    <row r="1485" spans="5:10" ht="12.75" hidden="1" customHeight="1" x14ac:dyDescent="0.25">
      <c r="E1485" s="305" t="e">
        <v>#VALUE!</v>
      </c>
      <c r="F1485" s="278" t="e">
        <f t="shared" si="22"/>
        <v>#VALUE!</v>
      </c>
      <c r="G1485" s="263" t="e">
        <v>#N/A</v>
      </c>
      <c r="H1485" s="266" t="e">
        <v>#N/A</v>
      </c>
      <c r="I1485" s="267" t="e">
        <v>#N/A</v>
      </c>
      <c r="J1485" s="268" t="e">
        <v>#N/A</v>
      </c>
    </row>
    <row r="1486" spans="5:10" ht="12.75" hidden="1" customHeight="1" x14ac:dyDescent="0.25">
      <c r="E1486" s="305" t="e">
        <v>#VALUE!</v>
      </c>
      <c r="F1486" s="278" t="e">
        <f t="shared" si="22"/>
        <v>#VALUE!</v>
      </c>
      <c r="G1486" s="263" t="e">
        <v>#N/A</v>
      </c>
      <c r="H1486" s="266" t="e">
        <v>#N/A</v>
      </c>
      <c r="I1486" s="267" t="e">
        <v>#N/A</v>
      </c>
      <c r="J1486" s="268" t="e">
        <v>#N/A</v>
      </c>
    </row>
    <row r="1487" spans="5:10" ht="12.75" hidden="1" customHeight="1" x14ac:dyDescent="0.25">
      <c r="E1487" s="305" t="e">
        <v>#VALUE!</v>
      </c>
      <c r="F1487" s="278" t="e">
        <f t="shared" si="22"/>
        <v>#VALUE!</v>
      </c>
      <c r="G1487" s="263" t="e">
        <v>#N/A</v>
      </c>
      <c r="H1487" s="266" t="e">
        <v>#N/A</v>
      </c>
      <c r="I1487" s="267" t="e">
        <v>#N/A</v>
      </c>
      <c r="J1487" s="268" t="e">
        <v>#N/A</v>
      </c>
    </row>
    <row r="1488" spans="5:10" ht="12.75" hidden="1" customHeight="1" x14ac:dyDescent="0.25">
      <c r="E1488" s="305" t="e">
        <v>#VALUE!</v>
      </c>
      <c r="F1488" s="278" t="e">
        <f t="shared" si="22"/>
        <v>#VALUE!</v>
      </c>
      <c r="G1488" s="263" t="e">
        <v>#N/A</v>
      </c>
      <c r="H1488" s="266" t="e">
        <v>#N/A</v>
      </c>
      <c r="I1488" s="267" t="e">
        <v>#N/A</v>
      </c>
      <c r="J1488" s="268" t="e">
        <v>#N/A</v>
      </c>
    </row>
    <row r="1489" spans="5:10" ht="12.75" hidden="1" customHeight="1" x14ac:dyDescent="0.25">
      <c r="E1489" s="305" t="e">
        <v>#VALUE!</v>
      </c>
      <c r="F1489" s="278" t="e">
        <f t="shared" si="22"/>
        <v>#VALUE!</v>
      </c>
      <c r="G1489" s="263" t="e">
        <v>#N/A</v>
      </c>
      <c r="H1489" s="266" t="e">
        <v>#N/A</v>
      </c>
      <c r="I1489" s="267" t="e">
        <v>#N/A</v>
      </c>
      <c r="J1489" s="268" t="e">
        <v>#N/A</v>
      </c>
    </row>
    <row r="1490" spans="5:10" ht="12.75" hidden="1" customHeight="1" x14ac:dyDescent="0.25">
      <c r="E1490" s="305" t="e">
        <v>#VALUE!</v>
      </c>
      <c r="F1490" s="278" t="e">
        <f t="shared" si="22"/>
        <v>#VALUE!</v>
      </c>
      <c r="G1490" s="263" t="e">
        <v>#N/A</v>
      </c>
      <c r="H1490" s="266" t="e">
        <v>#N/A</v>
      </c>
      <c r="I1490" s="267" t="e">
        <v>#N/A</v>
      </c>
      <c r="J1490" s="268" t="e">
        <v>#N/A</v>
      </c>
    </row>
    <row r="1491" spans="5:10" ht="12.75" hidden="1" customHeight="1" x14ac:dyDescent="0.25">
      <c r="E1491" s="305" t="e">
        <v>#VALUE!</v>
      </c>
      <c r="F1491" s="278" t="e">
        <f t="shared" si="22"/>
        <v>#VALUE!</v>
      </c>
      <c r="G1491" s="263" t="e">
        <v>#N/A</v>
      </c>
      <c r="H1491" s="266" t="e">
        <v>#N/A</v>
      </c>
      <c r="I1491" s="267" t="e">
        <v>#N/A</v>
      </c>
      <c r="J1491" s="268" t="e">
        <v>#N/A</v>
      </c>
    </row>
    <row r="1492" spans="5:10" ht="12.75" hidden="1" customHeight="1" x14ac:dyDescent="0.25">
      <c r="E1492" s="305" t="e">
        <v>#VALUE!</v>
      </c>
      <c r="F1492" s="278" t="e">
        <f t="shared" si="22"/>
        <v>#VALUE!</v>
      </c>
      <c r="G1492" s="263" t="e">
        <v>#N/A</v>
      </c>
      <c r="H1492" s="266" t="e">
        <v>#N/A</v>
      </c>
      <c r="I1492" s="267" t="e">
        <v>#N/A</v>
      </c>
      <c r="J1492" s="268" t="e">
        <v>#N/A</v>
      </c>
    </row>
    <row r="1493" spans="5:10" ht="12.75" hidden="1" customHeight="1" x14ac:dyDescent="0.25">
      <c r="E1493" s="305" t="e">
        <v>#VALUE!</v>
      </c>
      <c r="F1493" s="278" t="e">
        <f t="shared" si="22"/>
        <v>#VALUE!</v>
      </c>
      <c r="G1493" s="263" t="e">
        <v>#N/A</v>
      </c>
      <c r="H1493" s="266" t="e">
        <v>#N/A</v>
      </c>
      <c r="I1493" s="267" t="e">
        <v>#N/A</v>
      </c>
      <c r="J1493" s="268" t="e">
        <v>#N/A</v>
      </c>
    </row>
    <row r="1494" spans="5:10" ht="12.75" hidden="1" customHeight="1" x14ac:dyDescent="0.25">
      <c r="E1494" s="305" t="e">
        <v>#VALUE!</v>
      </c>
      <c r="F1494" s="278" t="e">
        <f t="shared" si="22"/>
        <v>#VALUE!</v>
      </c>
      <c r="G1494" s="263" t="e">
        <v>#N/A</v>
      </c>
      <c r="H1494" s="266" t="e">
        <v>#N/A</v>
      </c>
      <c r="I1494" s="267" t="e">
        <v>#N/A</v>
      </c>
      <c r="J1494" s="268" t="e">
        <v>#N/A</v>
      </c>
    </row>
    <row r="1495" spans="5:10" ht="12.75" hidden="1" customHeight="1" x14ac:dyDescent="0.25">
      <c r="E1495" s="305" t="e">
        <v>#VALUE!</v>
      </c>
      <c r="F1495" s="278" t="e">
        <f t="shared" si="22"/>
        <v>#VALUE!</v>
      </c>
      <c r="G1495" s="263" t="e">
        <v>#N/A</v>
      </c>
      <c r="H1495" s="266" t="e">
        <v>#N/A</v>
      </c>
      <c r="I1495" s="267" t="e">
        <v>#N/A</v>
      </c>
      <c r="J1495" s="268" t="e">
        <v>#N/A</v>
      </c>
    </row>
    <row r="1496" spans="5:10" ht="12.75" hidden="1" customHeight="1" x14ac:dyDescent="0.25">
      <c r="E1496" s="305" t="e">
        <v>#VALUE!</v>
      </c>
      <c r="F1496" s="278" t="e">
        <f t="shared" si="22"/>
        <v>#VALUE!</v>
      </c>
      <c r="G1496" s="263" t="e">
        <v>#N/A</v>
      </c>
      <c r="H1496" s="266" t="e">
        <v>#N/A</v>
      </c>
      <c r="I1496" s="267" t="e">
        <v>#N/A</v>
      </c>
      <c r="J1496" s="268" t="e">
        <v>#N/A</v>
      </c>
    </row>
    <row r="1497" spans="5:10" ht="12.75" hidden="1" customHeight="1" x14ac:dyDescent="0.25">
      <c r="E1497" s="305" t="e">
        <v>#VALUE!</v>
      </c>
      <c r="F1497" s="278" t="e">
        <f t="shared" si="22"/>
        <v>#VALUE!</v>
      </c>
      <c r="G1497" s="263" t="e">
        <v>#N/A</v>
      </c>
      <c r="H1497" s="266" t="e">
        <v>#N/A</v>
      </c>
      <c r="I1497" s="267" t="e">
        <v>#N/A</v>
      </c>
      <c r="J1497" s="268" t="e">
        <v>#N/A</v>
      </c>
    </row>
    <row r="1498" spans="5:10" ht="12.75" hidden="1" customHeight="1" x14ac:dyDescent="0.25">
      <c r="E1498" s="305" t="e">
        <v>#VALUE!</v>
      </c>
      <c r="F1498" s="278" t="e">
        <f t="shared" si="22"/>
        <v>#VALUE!</v>
      </c>
      <c r="G1498" s="263" t="e">
        <v>#N/A</v>
      </c>
      <c r="H1498" s="266" t="e">
        <v>#N/A</v>
      </c>
      <c r="I1498" s="267" t="e">
        <v>#N/A</v>
      </c>
      <c r="J1498" s="268" t="e">
        <v>#N/A</v>
      </c>
    </row>
    <row r="1499" spans="5:10" ht="12.75" hidden="1" customHeight="1" x14ac:dyDescent="0.25">
      <c r="E1499" s="305" t="e">
        <v>#VALUE!</v>
      </c>
      <c r="F1499" s="278" t="e">
        <f t="shared" si="22"/>
        <v>#VALUE!</v>
      </c>
      <c r="G1499" s="263" t="e">
        <v>#N/A</v>
      </c>
      <c r="H1499" s="266" t="e">
        <v>#N/A</v>
      </c>
      <c r="I1499" s="267" t="e">
        <v>#N/A</v>
      </c>
      <c r="J1499" s="268" t="e">
        <v>#N/A</v>
      </c>
    </row>
    <row r="1500" spans="5:10" ht="12.75" hidden="1" customHeight="1" x14ac:dyDescent="0.25">
      <c r="E1500" s="305" t="e">
        <v>#VALUE!</v>
      </c>
      <c r="F1500" s="278" t="e">
        <f t="shared" si="22"/>
        <v>#VALUE!</v>
      </c>
      <c r="G1500" s="263" t="e">
        <v>#N/A</v>
      </c>
      <c r="H1500" s="266" t="e">
        <v>#N/A</v>
      </c>
      <c r="I1500" s="267" t="e">
        <v>#N/A</v>
      </c>
      <c r="J1500" s="268" t="e">
        <v>#N/A</v>
      </c>
    </row>
    <row r="1501" spans="5:10" ht="12.75" hidden="1" customHeight="1" x14ac:dyDescent="0.25">
      <c r="E1501" s="305" t="e">
        <v>#VALUE!</v>
      </c>
      <c r="F1501" s="278" t="e">
        <f t="shared" si="22"/>
        <v>#VALUE!</v>
      </c>
      <c r="G1501" s="263" t="e">
        <v>#N/A</v>
      </c>
      <c r="H1501" s="266" t="e">
        <v>#N/A</v>
      </c>
      <c r="I1501" s="267" t="e">
        <v>#N/A</v>
      </c>
      <c r="J1501" s="268" t="e">
        <v>#N/A</v>
      </c>
    </row>
    <row r="1502" spans="5:10" ht="12.75" hidden="1" customHeight="1" x14ac:dyDescent="0.25">
      <c r="E1502" s="305" t="e">
        <v>#VALUE!</v>
      </c>
      <c r="F1502" s="278" t="e">
        <f t="shared" si="22"/>
        <v>#VALUE!</v>
      </c>
      <c r="G1502" s="263" t="e">
        <v>#N/A</v>
      </c>
      <c r="H1502" s="266" t="e">
        <v>#N/A</v>
      </c>
      <c r="I1502" s="267" t="e">
        <v>#N/A</v>
      </c>
      <c r="J1502" s="268" t="e">
        <v>#N/A</v>
      </c>
    </row>
    <row r="1503" spans="5:10" ht="12.75" hidden="1" customHeight="1" x14ac:dyDescent="0.25">
      <c r="E1503" s="305" t="e">
        <v>#VALUE!</v>
      </c>
      <c r="F1503" s="278" t="e">
        <f t="shared" si="22"/>
        <v>#VALUE!</v>
      </c>
      <c r="G1503" s="263" t="e">
        <v>#N/A</v>
      </c>
      <c r="H1503" s="266" t="e">
        <v>#N/A</v>
      </c>
      <c r="I1503" s="267" t="e">
        <v>#N/A</v>
      </c>
      <c r="J1503" s="268" t="e">
        <v>#N/A</v>
      </c>
    </row>
    <row r="1504" spans="5:10" ht="12.75" hidden="1" customHeight="1" x14ac:dyDescent="0.25">
      <c r="E1504" s="305" t="e">
        <v>#VALUE!</v>
      </c>
      <c r="F1504" s="278" t="e">
        <f t="shared" si="22"/>
        <v>#VALUE!</v>
      </c>
      <c r="G1504" s="263" t="e">
        <v>#N/A</v>
      </c>
      <c r="H1504" s="266" t="e">
        <v>#N/A</v>
      </c>
      <c r="I1504" s="267" t="e">
        <v>#N/A</v>
      </c>
      <c r="J1504" s="268" t="e">
        <v>#N/A</v>
      </c>
    </row>
    <row r="1505" spans="5:10" ht="12.75" hidden="1" customHeight="1" x14ac:dyDescent="0.25">
      <c r="E1505" s="305" t="e">
        <v>#VALUE!</v>
      </c>
      <c r="F1505" s="278" t="e">
        <f t="shared" si="22"/>
        <v>#VALUE!</v>
      </c>
      <c r="G1505" s="263" t="e">
        <v>#N/A</v>
      </c>
      <c r="H1505" s="266" t="e">
        <v>#N/A</v>
      </c>
      <c r="I1505" s="267" t="e">
        <v>#N/A</v>
      </c>
      <c r="J1505" s="268" t="e">
        <v>#N/A</v>
      </c>
    </row>
    <row r="1506" spans="5:10" ht="12.75" hidden="1" customHeight="1" x14ac:dyDescent="0.25">
      <c r="E1506" s="305" t="e">
        <v>#VALUE!</v>
      </c>
      <c r="F1506" s="278" t="e">
        <f t="shared" si="22"/>
        <v>#VALUE!</v>
      </c>
      <c r="G1506" s="263" t="e">
        <v>#N/A</v>
      </c>
      <c r="H1506" s="266" t="e">
        <v>#N/A</v>
      </c>
      <c r="I1506" s="267" t="e">
        <v>#N/A</v>
      </c>
      <c r="J1506" s="268" t="e">
        <v>#N/A</v>
      </c>
    </row>
    <row r="1507" spans="5:10" ht="12.75" hidden="1" customHeight="1" x14ac:dyDescent="0.25">
      <c r="E1507" s="305" t="e">
        <v>#VALUE!</v>
      </c>
      <c r="F1507" s="278" t="e">
        <f t="shared" si="22"/>
        <v>#VALUE!</v>
      </c>
      <c r="G1507" s="263" t="e">
        <v>#N/A</v>
      </c>
      <c r="H1507" s="266" t="e">
        <v>#N/A</v>
      </c>
      <c r="I1507" s="267" t="e">
        <v>#N/A</v>
      </c>
      <c r="J1507" s="268" t="e">
        <v>#N/A</v>
      </c>
    </row>
    <row r="1508" spans="5:10" ht="12.75" hidden="1" customHeight="1" x14ac:dyDescent="0.25">
      <c r="E1508" s="305" t="e">
        <v>#VALUE!</v>
      </c>
      <c r="F1508" s="278" t="e">
        <f t="shared" si="22"/>
        <v>#VALUE!</v>
      </c>
      <c r="G1508" s="263" t="e">
        <v>#N/A</v>
      </c>
      <c r="H1508" s="266" t="e">
        <v>#N/A</v>
      </c>
      <c r="I1508" s="267" t="e">
        <v>#N/A</v>
      </c>
      <c r="J1508" s="268" t="e">
        <v>#N/A</v>
      </c>
    </row>
    <row r="1509" spans="5:10" ht="12.75" hidden="1" customHeight="1" x14ac:dyDescent="0.25">
      <c r="E1509" s="305" t="e">
        <v>#VALUE!</v>
      </c>
      <c r="F1509" s="278" t="e">
        <f t="shared" si="22"/>
        <v>#VALUE!</v>
      </c>
      <c r="G1509" s="263" t="e">
        <v>#N/A</v>
      </c>
      <c r="H1509" s="266" t="e">
        <v>#N/A</v>
      </c>
      <c r="I1509" s="267" t="e">
        <v>#N/A</v>
      </c>
      <c r="J1509" s="268" t="e">
        <v>#N/A</v>
      </c>
    </row>
    <row r="1510" spans="5:10" ht="12.75" hidden="1" customHeight="1" x14ac:dyDescent="0.25">
      <c r="E1510" s="305" t="e">
        <v>#VALUE!</v>
      </c>
      <c r="F1510" s="278" t="e">
        <f t="shared" si="22"/>
        <v>#VALUE!</v>
      </c>
      <c r="G1510" s="263" t="e">
        <v>#N/A</v>
      </c>
      <c r="H1510" s="266" t="e">
        <v>#N/A</v>
      </c>
      <c r="I1510" s="267" t="e">
        <v>#N/A</v>
      </c>
      <c r="J1510" s="268" t="e">
        <v>#N/A</v>
      </c>
    </row>
    <row r="1511" spans="5:10" ht="12.75" hidden="1" customHeight="1" x14ac:dyDescent="0.25">
      <c r="E1511" s="305" t="e">
        <v>#VALUE!</v>
      </c>
      <c r="F1511" s="278" t="e">
        <f t="shared" si="22"/>
        <v>#VALUE!</v>
      </c>
      <c r="G1511" s="263" t="e">
        <v>#N/A</v>
      </c>
      <c r="H1511" s="266" t="e">
        <v>#N/A</v>
      </c>
      <c r="I1511" s="267" t="e">
        <v>#N/A</v>
      </c>
      <c r="J1511" s="268" t="e">
        <v>#N/A</v>
      </c>
    </row>
    <row r="1512" spans="5:10" ht="12.75" hidden="1" customHeight="1" x14ac:dyDescent="0.25">
      <c r="E1512" s="305" t="e">
        <v>#VALUE!</v>
      </c>
      <c r="F1512" s="278" t="e">
        <f t="shared" si="22"/>
        <v>#VALUE!</v>
      </c>
      <c r="G1512" s="263" t="e">
        <v>#N/A</v>
      </c>
      <c r="H1512" s="266" t="e">
        <v>#N/A</v>
      </c>
      <c r="I1512" s="267" t="e">
        <v>#N/A</v>
      </c>
      <c r="J1512" s="268" t="e">
        <v>#N/A</v>
      </c>
    </row>
    <row r="1513" spans="5:10" ht="12.75" hidden="1" customHeight="1" x14ac:dyDescent="0.25">
      <c r="E1513" s="305" t="e">
        <v>#VALUE!</v>
      </c>
      <c r="F1513" s="278" t="e">
        <f t="shared" si="22"/>
        <v>#VALUE!</v>
      </c>
      <c r="G1513" s="263" t="e">
        <v>#N/A</v>
      </c>
      <c r="H1513" s="266" t="e">
        <v>#N/A</v>
      </c>
      <c r="I1513" s="267" t="e">
        <v>#N/A</v>
      </c>
      <c r="J1513" s="268" t="e">
        <v>#N/A</v>
      </c>
    </row>
    <row r="1514" spans="5:10" ht="12.75" hidden="1" customHeight="1" x14ac:dyDescent="0.25">
      <c r="E1514" s="305" t="e">
        <v>#VALUE!</v>
      </c>
      <c r="F1514" s="278" t="e">
        <f t="shared" si="22"/>
        <v>#VALUE!</v>
      </c>
      <c r="G1514" s="263" t="e">
        <v>#N/A</v>
      </c>
      <c r="H1514" s="266" t="e">
        <v>#N/A</v>
      </c>
      <c r="I1514" s="267" t="e">
        <v>#N/A</v>
      </c>
      <c r="J1514" s="268" t="e">
        <v>#N/A</v>
      </c>
    </row>
    <row r="1515" spans="5:10" ht="12.75" hidden="1" customHeight="1" x14ac:dyDescent="0.25">
      <c r="E1515" s="305" t="e">
        <v>#VALUE!</v>
      </c>
      <c r="F1515" s="278" t="e">
        <f t="shared" si="22"/>
        <v>#VALUE!</v>
      </c>
      <c r="G1515" s="263" t="e">
        <v>#N/A</v>
      </c>
      <c r="H1515" s="266" t="e">
        <v>#N/A</v>
      </c>
      <c r="I1515" s="267" t="e">
        <v>#N/A</v>
      </c>
      <c r="J1515" s="268" t="e">
        <v>#N/A</v>
      </c>
    </row>
    <row r="1516" spans="5:10" ht="12.75" hidden="1" customHeight="1" x14ac:dyDescent="0.25">
      <c r="E1516" s="305" t="e">
        <v>#VALUE!</v>
      </c>
      <c r="F1516" s="278" t="e">
        <f t="shared" ref="F1516:F1579" si="23">C1516-D1516+E1516</f>
        <v>#VALUE!</v>
      </c>
      <c r="G1516" s="263" t="e">
        <v>#N/A</v>
      </c>
      <c r="H1516" s="266" t="e">
        <v>#N/A</v>
      </c>
      <c r="I1516" s="267" t="e">
        <v>#N/A</v>
      </c>
      <c r="J1516" s="268" t="e">
        <v>#N/A</v>
      </c>
    </row>
    <row r="1517" spans="5:10" ht="12.75" hidden="1" customHeight="1" x14ac:dyDescent="0.25">
      <c r="E1517" s="305" t="e">
        <v>#VALUE!</v>
      </c>
      <c r="F1517" s="278" t="e">
        <f t="shared" si="23"/>
        <v>#VALUE!</v>
      </c>
      <c r="G1517" s="263" t="e">
        <v>#N/A</v>
      </c>
      <c r="H1517" s="266" t="e">
        <v>#N/A</v>
      </c>
      <c r="I1517" s="267" t="e">
        <v>#N/A</v>
      </c>
      <c r="J1517" s="268" t="e">
        <v>#N/A</v>
      </c>
    </row>
    <row r="1518" spans="5:10" ht="12.75" hidden="1" customHeight="1" x14ac:dyDescent="0.25">
      <c r="E1518" s="305" t="e">
        <v>#VALUE!</v>
      </c>
      <c r="F1518" s="278" t="e">
        <f t="shared" si="23"/>
        <v>#VALUE!</v>
      </c>
      <c r="G1518" s="263" t="e">
        <v>#N/A</v>
      </c>
      <c r="H1518" s="266" t="e">
        <v>#N/A</v>
      </c>
      <c r="I1518" s="267" t="e">
        <v>#N/A</v>
      </c>
      <c r="J1518" s="268" t="e">
        <v>#N/A</v>
      </c>
    </row>
    <row r="1519" spans="5:10" ht="12.75" hidden="1" customHeight="1" x14ac:dyDescent="0.25">
      <c r="E1519" s="305" t="e">
        <v>#VALUE!</v>
      </c>
      <c r="F1519" s="278" t="e">
        <f t="shared" si="23"/>
        <v>#VALUE!</v>
      </c>
      <c r="G1519" s="263" t="e">
        <v>#N/A</v>
      </c>
      <c r="H1519" s="266" t="e">
        <v>#N/A</v>
      </c>
      <c r="I1519" s="267" t="e">
        <v>#N/A</v>
      </c>
      <c r="J1519" s="268" t="e">
        <v>#N/A</v>
      </c>
    </row>
    <row r="1520" spans="5:10" ht="12.75" hidden="1" customHeight="1" x14ac:dyDescent="0.25">
      <c r="E1520" s="305" t="e">
        <v>#VALUE!</v>
      </c>
      <c r="F1520" s="278" t="e">
        <f t="shared" si="23"/>
        <v>#VALUE!</v>
      </c>
      <c r="G1520" s="263" t="e">
        <v>#N/A</v>
      </c>
      <c r="H1520" s="266" t="e">
        <v>#N/A</v>
      </c>
      <c r="I1520" s="267" t="e">
        <v>#N/A</v>
      </c>
      <c r="J1520" s="268" t="e">
        <v>#N/A</v>
      </c>
    </row>
    <row r="1521" spans="5:10" ht="12.75" hidden="1" customHeight="1" x14ac:dyDescent="0.25">
      <c r="E1521" s="305" t="e">
        <v>#VALUE!</v>
      </c>
      <c r="F1521" s="278" t="e">
        <f t="shared" si="23"/>
        <v>#VALUE!</v>
      </c>
      <c r="G1521" s="263" t="e">
        <v>#N/A</v>
      </c>
      <c r="H1521" s="266" t="e">
        <v>#N/A</v>
      </c>
      <c r="I1521" s="267" t="e">
        <v>#N/A</v>
      </c>
      <c r="J1521" s="268" t="e">
        <v>#N/A</v>
      </c>
    </row>
    <row r="1522" spans="5:10" ht="12.75" hidden="1" customHeight="1" x14ac:dyDescent="0.25">
      <c r="E1522" s="305" t="e">
        <v>#VALUE!</v>
      </c>
      <c r="F1522" s="278" t="e">
        <f t="shared" si="23"/>
        <v>#VALUE!</v>
      </c>
      <c r="G1522" s="263" t="e">
        <v>#N/A</v>
      </c>
      <c r="H1522" s="266" t="e">
        <v>#N/A</v>
      </c>
      <c r="I1522" s="267" t="e">
        <v>#N/A</v>
      </c>
      <c r="J1522" s="268" t="e">
        <v>#N/A</v>
      </c>
    </row>
    <row r="1523" spans="5:10" ht="12.75" hidden="1" customHeight="1" x14ac:dyDescent="0.25">
      <c r="E1523" s="305" t="e">
        <v>#VALUE!</v>
      </c>
      <c r="F1523" s="278" t="e">
        <f t="shared" si="23"/>
        <v>#VALUE!</v>
      </c>
      <c r="G1523" s="263" t="e">
        <v>#N/A</v>
      </c>
      <c r="H1523" s="266" t="e">
        <v>#N/A</v>
      </c>
      <c r="I1523" s="267" t="e">
        <v>#N/A</v>
      </c>
      <c r="J1523" s="268" t="e">
        <v>#N/A</v>
      </c>
    </row>
    <row r="1524" spans="5:10" ht="12.75" hidden="1" customHeight="1" x14ac:dyDescent="0.25">
      <c r="E1524" s="305" t="e">
        <v>#VALUE!</v>
      </c>
      <c r="F1524" s="278" t="e">
        <f t="shared" si="23"/>
        <v>#VALUE!</v>
      </c>
      <c r="G1524" s="263" t="e">
        <v>#N/A</v>
      </c>
      <c r="H1524" s="266" t="e">
        <v>#N/A</v>
      </c>
      <c r="I1524" s="267" t="e">
        <v>#N/A</v>
      </c>
      <c r="J1524" s="268" t="e">
        <v>#N/A</v>
      </c>
    </row>
    <row r="1525" spans="5:10" ht="12.75" hidden="1" customHeight="1" x14ac:dyDescent="0.25">
      <c r="E1525" s="305" t="e">
        <v>#VALUE!</v>
      </c>
      <c r="F1525" s="278" t="e">
        <f t="shared" si="23"/>
        <v>#VALUE!</v>
      </c>
      <c r="G1525" s="263" t="e">
        <v>#N/A</v>
      </c>
      <c r="H1525" s="266" t="e">
        <v>#N/A</v>
      </c>
      <c r="I1525" s="267" t="e">
        <v>#N/A</v>
      </c>
      <c r="J1525" s="268" t="e">
        <v>#N/A</v>
      </c>
    </row>
    <row r="1526" spans="5:10" ht="12.75" hidden="1" customHeight="1" x14ac:dyDescent="0.25">
      <c r="E1526" s="305" t="e">
        <v>#VALUE!</v>
      </c>
      <c r="F1526" s="278" t="e">
        <f t="shared" si="23"/>
        <v>#VALUE!</v>
      </c>
      <c r="G1526" s="263" t="e">
        <v>#N/A</v>
      </c>
      <c r="H1526" s="266" t="e">
        <v>#N/A</v>
      </c>
      <c r="I1526" s="267" t="e">
        <v>#N/A</v>
      </c>
      <c r="J1526" s="268" t="e">
        <v>#N/A</v>
      </c>
    </row>
    <row r="1527" spans="5:10" ht="12.75" hidden="1" customHeight="1" x14ac:dyDescent="0.25">
      <c r="E1527" s="305" t="e">
        <v>#VALUE!</v>
      </c>
      <c r="F1527" s="278" t="e">
        <f t="shared" si="23"/>
        <v>#VALUE!</v>
      </c>
      <c r="G1527" s="263" t="e">
        <v>#N/A</v>
      </c>
      <c r="H1527" s="266" t="e">
        <v>#N/A</v>
      </c>
      <c r="I1527" s="267" t="e">
        <v>#N/A</v>
      </c>
      <c r="J1527" s="268" t="e">
        <v>#N/A</v>
      </c>
    </row>
    <row r="1528" spans="5:10" ht="12.75" hidden="1" customHeight="1" x14ac:dyDescent="0.25">
      <c r="E1528" s="305" t="e">
        <v>#VALUE!</v>
      </c>
      <c r="F1528" s="278" t="e">
        <f t="shared" si="23"/>
        <v>#VALUE!</v>
      </c>
      <c r="G1528" s="263" t="e">
        <v>#N/A</v>
      </c>
      <c r="H1528" s="266" t="e">
        <v>#N/A</v>
      </c>
      <c r="I1528" s="267" t="e">
        <v>#N/A</v>
      </c>
      <c r="J1528" s="268" t="e">
        <v>#N/A</v>
      </c>
    </row>
    <row r="1529" spans="5:10" ht="12.75" hidden="1" customHeight="1" x14ac:dyDescent="0.25">
      <c r="E1529" s="305" t="e">
        <v>#VALUE!</v>
      </c>
      <c r="F1529" s="278" t="e">
        <f t="shared" si="23"/>
        <v>#VALUE!</v>
      </c>
      <c r="G1529" s="263" t="e">
        <v>#N/A</v>
      </c>
      <c r="H1529" s="266" t="e">
        <v>#N/A</v>
      </c>
      <c r="I1529" s="267" t="e">
        <v>#N/A</v>
      </c>
      <c r="J1529" s="268" t="e">
        <v>#N/A</v>
      </c>
    </row>
    <row r="1530" spans="5:10" ht="12.75" hidden="1" customHeight="1" x14ac:dyDescent="0.25">
      <c r="E1530" s="305" t="e">
        <v>#VALUE!</v>
      </c>
      <c r="F1530" s="278" t="e">
        <f t="shared" si="23"/>
        <v>#VALUE!</v>
      </c>
      <c r="G1530" s="263" t="e">
        <v>#N/A</v>
      </c>
      <c r="H1530" s="266" t="e">
        <v>#N/A</v>
      </c>
      <c r="I1530" s="267" t="e">
        <v>#N/A</v>
      </c>
      <c r="J1530" s="268" t="e">
        <v>#N/A</v>
      </c>
    </row>
    <row r="1531" spans="5:10" ht="12.75" hidden="1" customHeight="1" x14ac:dyDescent="0.25">
      <c r="E1531" s="305" t="e">
        <v>#VALUE!</v>
      </c>
      <c r="F1531" s="278" t="e">
        <f t="shared" si="23"/>
        <v>#VALUE!</v>
      </c>
      <c r="G1531" s="263" t="e">
        <v>#N/A</v>
      </c>
      <c r="H1531" s="266" t="e">
        <v>#N/A</v>
      </c>
      <c r="I1531" s="267" t="e">
        <v>#N/A</v>
      </c>
      <c r="J1531" s="268" t="e">
        <v>#N/A</v>
      </c>
    </row>
    <row r="1532" spans="5:10" ht="12.75" hidden="1" customHeight="1" x14ac:dyDescent="0.25">
      <c r="E1532" s="305" t="e">
        <v>#VALUE!</v>
      </c>
      <c r="F1532" s="278" t="e">
        <f t="shared" si="23"/>
        <v>#VALUE!</v>
      </c>
      <c r="G1532" s="263" t="e">
        <v>#N/A</v>
      </c>
      <c r="H1532" s="266" t="e">
        <v>#N/A</v>
      </c>
      <c r="I1532" s="267" t="e">
        <v>#N/A</v>
      </c>
      <c r="J1532" s="268" t="e">
        <v>#N/A</v>
      </c>
    </row>
    <row r="1533" spans="5:10" ht="12.75" hidden="1" customHeight="1" x14ac:dyDescent="0.25">
      <c r="E1533" s="305" t="e">
        <v>#VALUE!</v>
      </c>
      <c r="F1533" s="278" t="e">
        <f t="shared" si="23"/>
        <v>#VALUE!</v>
      </c>
      <c r="G1533" s="263" t="e">
        <v>#N/A</v>
      </c>
      <c r="H1533" s="266" t="e">
        <v>#N/A</v>
      </c>
      <c r="I1533" s="267" t="e">
        <v>#N/A</v>
      </c>
      <c r="J1533" s="268" t="e">
        <v>#N/A</v>
      </c>
    </row>
    <row r="1534" spans="5:10" ht="12.75" hidden="1" customHeight="1" x14ac:dyDescent="0.25">
      <c r="E1534" s="305" t="e">
        <v>#VALUE!</v>
      </c>
      <c r="F1534" s="278" t="e">
        <f t="shared" si="23"/>
        <v>#VALUE!</v>
      </c>
      <c r="G1534" s="263" t="e">
        <v>#N/A</v>
      </c>
      <c r="H1534" s="266" t="e">
        <v>#N/A</v>
      </c>
      <c r="I1534" s="267" t="e">
        <v>#N/A</v>
      </c>
      <c r="J1534" s="268" t="e">
        <v>#N/A</v>
      </c>
    </row>
    <row r="1535" spans="5:10" ht="12.75" hidden="1" customHeight="1" x14ac:dyDescent="0.25">
      <c r="E1535" s="305" t="e">
        <v>#VALUE!</v>
      </c>
      <c r="F1535" s="278" t="e">
        <f t="shared" si="23"/>
        <v>#VALUE!</v>
      </c>
      <c r="G1535" s="263" t="e">
        <v>#N/A</v>
      </c>
      <c r="H1535" s="266" t="e">
        <v>#N/A</v>
      </c>
      <c r="I1535" s="267" t="e">
        <v>#N/A</v>
      </c>
      <c r="J1535" s="268" t="e">
        <v>#N/A</v>
      </c>
    </row>
    <row r="1536" spans="5:10" ht="12.75" hidden="1" customHeight="1" x14ac:dyDescent="0.25">
      <c r="E1536" s="305" t="e">
        <v>#VALUE!</v>
      </c>
      <c r="F1536" s="278" t="e">
        <f t="shared" si="23"/>
        <v>#VALUE!</v>
      </c>
      <c r="G1536" s="263" t="e">
        <v>#N/A</v>
      </c>
      <c r="H1536" s="266" t="e">
        <v>#N/A</v>
      </c>
      <c r="I1536" s="267" t="e">
        <v>#N/A</v>
      </c>
      <c r="J1536" s="268" t="e">
        <v>#N/A</v>
      </c>
    </row>
    <row r="1537" spans="5:10" ht="12.75" hidden="1" customHeight="1" x14ac:dyDescent="0.25">
      <c r="E1537" s="305" t="e">
        <v>#VALUE!</v>
      </c>
      <c r="F1537" s="278" t="e">
        <f t="shared" si="23"/>
        <v>#VALUE!</v>
      </c>
      <c r="G1537" s="263" t="e">
        <v>#N/A</v>
      </c>
      <c r="H1537" s="266" t="e">
        <v>#N/A</v>
      </c>
      <c r="I1537" s="267" t="e">
        <v>#N/A</v>
      </c>
      <c r="J1537" s="268" t="e">
        <v>#N/A</v>
      </c>
    </row>
    <row r="1538" spans="5:10" ht="12.75" hidden="1" customHeight="1" x14ac:dyDescent="0.25">
      <c r="E1538" s="305" t="e">
        <v>#VALUE!</v>
      </c>
      <c r="F1538" s="278" t="e">
        <f t="shared" si="23"/>
        <v>#VALUE!</v>
      </c>
      <c r="G1538" s="263" t="e">
        <v>#N/A</v>
      </c>
      <c r="H1538" s="266" t="e">
        <v>#N/A</v>
      </c>
      <c r="I1538" s="267" t="e">
        <v>#N/A</v>
      </c>
      <c r="J1538" s="268" t="e">
        <v>#N/A</v>
      </c>
    </row>
    <row r="1539" spans="5:10" ht="12.75" hidden="1" customHeight="1" x14ac:dyDescent="0.25">
      <c r="E1539" s="305" t="e">
        <v>#VALUE!</v>
      </c>
      <c r="F1539" s="278" t="e">
        <f t="shared" si="23"/>
        <v>#VALUE!</v>
      </c>
      <c r="G1539" s="263" t="e">
        <v>#N/A</v>
      </c>
      <c r="H1539" s="266" t="e">
        <v>#N/A</v>
      </c>
      <c r="I1539" s="267" t="e">
        <v>#N/A</v>
      </c>
      <c r="J1539" s="268" t="e">
        <v>#N/A</v>
      </c>
    </row>
    <row r="1540" spans="5:10" ht="12.75" hidden="1" customHeight="1" x14ac:dyDescent="0.25">
      <c r="E1540" s="305" t="e">
        <v>#VALUE!</v>
      </c>
      <c r="F1540" s="278" t="e">
        <f t="shared" si="23"/>
        <v>#VALUE!</v>
      </c>
      <c r="G1540" s="263" t="e">
        <v>#N/A</v>
      </c>
      <c r="H1540" s="266" t="e">
        <v>#N/A</v>
      </c>
      <c r="I1540" s="267" t="e">
        <v>#N/A</v>
      </c>
      <c r="J1540" s="268" t="e">
        <v>#N/A</v>
      </c>
    </row>
    <row r="1541" spans="5:10" ht="12.75" hidden="1" customHeight="1" x14ac:dyDescent="0.25">
      <c r="E1541" s="305" t="e">
        <v>#VALUE!</v>
      </c>
      <c r="F1541" s="278" t="e">
        <f t="shared" si="23"/>
        <v>#VALUE!</v>
      </c>
      <c r="G1541" s="263" t="e">
        <v>#N/A</v>
      </c>
      <c r="H1541" s="266" t="e">
        <v>#N/A</v>
      </c>
      <c r="I1541" s="267" t="e">
        <v>#N/A</v>
      </c>
      <c r="J1541" s="268" t="e">
        <v>#N/A</v>
      </c>
    </row>
    <row r="1542" spans="5:10" ht="12.75" hidden="1" customHeight="1" x14ac:dyDescent="0.25">
      <c r="E1542" s="305" t="e">
        <v>#VALUE!</v>
      </c>
      <c r="F1542" s="278" t="e">
        <f t="shared" si="23"/>
        <v>#VALUE!</v>
      </c>
      <c r="G1542" s="263" t="e">
        <v>#N/A</v>
      </c>
      <c r="H1542" s="266" t="e">
        <v>#N/A</v>
      </c>
      <c r="I1542" s="267" t="e">
        <v>#N/A</v>
      </c>
      <c r="J1542" s="268" t="e">
        <v>#N/A</v>
      </c>
    </row>
    <row r="1543" spans="5:10" ht="12.75" hidden="1" customHeight="1" x14ac:dyDescent="0.25">
      <c r="E1543" s="305" t="e">
        <v>#VALUE!</v>
      </c>
      <c r="F1543" s="278" t="e">
        <f t="shared" si="23"/>
        <v>#VALUE!</v>
      </c>
      <c r="G1543" s="263" t="e">
        <v>#N/A</v>
      </c>
      <c r="H1543" s="266" t="e">
        <v>#N/A</v>
      </c>
      <c r="I1543" s="267" t="e">
        <v>#N/A</v>
      </c>
      <c r="J1543" s="268" t="e">
        <v>#N/A</v>
      </c>
    </row>
    <row r="1544" spans="5:10" ht="12.75" hidden="1" customHeight="1" x14ac:dyDescent="0.25">
      <c r="E1544" s="305" t="e">
        <v>#VALUE!</v>
      </c>
      <c r="F1544" s="278" t="e">
        <f t="shared" si="23"/>
        <v>#VALUE!</v>
      </c>
      <c r="G1544" s="263" t="e">
        <v>#N/A</v>
      </c>
      <c r="H1544" s="266" t="e">
        <v>#N/A</v>
      </c>
      <c r="I1544" s="267" t="e">
        <v>#N/A</v>
      </c>
      <c r="J1544" s="268" t="e">
        <v>#N/A</v>
      </c>
    </row>
    <row r="1545" spans="5:10" ht="12.75" hidden="1" customHeight="1" x14ac:dyDescent="0.25">
      <c r="E1545" s="305" t="e">
        <v>#VALUE!</v>
      </c>
      <c r="F1545" s="278" t="e">
        <f t="shared" si="23"/>
        <v>#VALUE!</v>
      </c>
      <c r="G1545" s="263" t="e">
        <v>#N/A</v>
      </c>
      <c r="H1545" s="266" t="e">
        <v>#N/A</v>
      </c>
      <c r="I1545" s="267" t="e">
        <v>#N/A</v>
      </c>
      <c r="J1545" s="268" t="e">
        <v>#N/A</v>
      </c>
    </row>
    <row r="1546" spans="5:10" ht="12.75" hidden="1" customHeight="1" x14ac:dyDescent="0.25">
      <c r="E1546" s="305" t="e">
        <v>#VALUE!</v>
      </c>
      <c r="F1546" s="278" t="e">
        <f t="shared" si="23"/>
        <v>#VALUE!</v>
      </c>
      <c r="G1546" s="263" t="e">
        <v>#N/A</v>
      </c>
      <c r="H1546" s="266" t="e">
        <v>#N/A</v>
      </c>
      <c r="I1546" s="267" t="e">
        <v>#N/A</v>
      </c>
      <c r="J1546" s="268" t="e">
        <v>#N/A</v>
      </c>
    </row>
    <row r="1547" spans="5:10" ht="12.75" hidden="1" customHeight="1" x14ac:dyDescent="0.25">
      <c r="E1547" s="305" t="e">
        <v>#VALUE!</v>
      </c>
      <c r="F1547" s="278" t="e">
        <f t="shared" si="23"/>
        <v>#VALUE!</v>
      </c>
      <c r="G1547" s="263" t="e">
        <v>#N/A</v>
      </c>
      <c r="H1547" s="266" t="e">
        <v>#N/A</v>
      </c>
      <c r="I1547" s="267" t="e">
        <v>#N/A</v>
      </c>
      <c r="J1547" s="268" t="e">
        <v>#N/A</v>
      </c>
    </row>
    <row r="1548" spans="5:10" ht="12.75" hidden="1" customHeight="1" x14ac:dyDescent="0.25">
      <c r="E1548" s="305" t="e">
        <v>#VALUE!</v>
      </c>
      <c r="F1548" s="278" t="e">
        <f t="shared" si="23"/>
        <v>#VALUE!</v>
      </c>
      <c r="G1548" s="263" t="e">
        <v>#N/A</v>
      </c>
      <c r="H1548" s="266" t="e">
        <v>#N/A</v>
      </c>
      <c r="I1548" s="267" t="e">
        <v>#N/A</v>
      </c>
      <c r="J1548" s="268" t="e">
        <v>#N/A</v>
      </c>
    </row>
    <row r="1549" spans="5:10" ht="12.75" hidden="1" customHeight="1" x14ac:dyDescent="0.25">
      <c r="E1549" s="305" t="e">
        <v>#VALUE!</v>
      </c>
      <c r="F1549" s="278" t="e">
        <f t="shared" si="23"/>
        <v>#VALUE!</v>
      </c>
      <c r="G1549" s="263" t="e">
        <v>#N/A</v>
      </c>
      <c r="H1549" s="266" t="e">
        <v>#N/A</v>
      </c>
      <c r="I1549" s="267" t="e">
        <v>#N/A</v>
      </c>
      <c r="J1549" s="268" t="e">
        <v>#N/A</v>
      </c>
    </row>
    <row r="1550" spans="5:10" ht="12.75" hidden="1" customHeight="1" x14ac:dyDescent="0.25">
      <c r="E1550" s="305" t="e">
        <v>#VALUE!</v>
      </c>
      <c r="F1550" s="278" t="e">
        <f t="shared" si="23"/>
        <v>#VALUE!</v>
      </c>
      <c r="G1550" s="263" t="e">
        <v>#N/A</v>
      </c>
      <c r="H1550" s="266" t="e">
        <v>#N/A</v>
      </c>
      <c r="I1550" s="267" t="e">
        <v>#N/A</v>
      </c>
      <c r="J1550" s="268" t="e">
        <v>#N/A</v>
      </c>
    </row>
    <row r="1551" spans="5:10" ht="12.75" hidden="1" customHeight="1" x14ac:dyDescent="0.25">
      <c r="E1551" s="305" t="e">
        <v>#VALUE!</v>
      </c>
      <c r="F1551" s="278" t="e">
        <f t="shared" si="23"/>
        <v>#VALUE!</v>
      </c>
      <c r="G1551" s="263" t="e">
        <v>#N/A</v>
      </c>
      <c r="H1551" s="266" t="e">
        <v>#N/A</v>
      </c>
      <c r="I1551" s="267" t="e">
        <v>#N/A</v>
      </c>
      <c r="J1551" s="268" t="e">
        <v>#N/A</v>
      </c>
    </row>
    <row r="1552" spans="5:10" ht="12.75" hidden="1" customHeight="1" x14ac:dyDescent="0.25">
      <c r="E1552" s="305" t="e">
        <v>#VALUE!</v>
      </c>
      <c r="F1552" s="278" t="e">
        <f t="shared" si="23"/>
        <v>#VALUE!</v>
      </c>
      <c r="G1552" s="263" t="e">
        <v>#N/A</v>
      </c>
      <c r="H1552" s="266" t="e">
        <v>#N/A</v>
      </c>
      <c r="I1552" s="267" t="e">
        <v>#N/A</v>
      </c>
      <c r="J1552" s="268" t="e">
        <v>#N/A</v>
      </c>
    </row>
    <row r="1553" spans="5:10" ht="12.75" hidden="1" customHeight="1" x14ac:dyDescent="0.25">
      <c r="E1553" s="305" t="e">
        <v>#VALUE!</v>
      </c>
      <c r="F1553" s="278" t="e">
        <f t="shared" si="23"/>
        <v>#VALUE!</v>
      </c>
      <c r="G1553" s="263" t="e">
        <v>#N/A</v>
      </c>
      <c r="H1553" s="266" t="e">
        <v>#N/A</v>
      </c>
      <c r="I1553" s="267" t="e">
        <v>#N/A</v>
      </c>
      <c r="J1553" s="268" t="e">
        <v>#N/A</v>
      </c>
    </row>
    <row r="1554" spans="5:10" ht="12.75" hidden="1" customHeight="1" x14ac:dyDescent="0.25">
      <c r="E1554" s="305" t="e">
        <v>#VALUE!</v>
      </c>
      <c r="F1554" s="278" t="e">
        <f t="shared" si="23"/>
        <v>#VALUE!</v>
      </c>
      <c r="G1554" s="263" t="e">
        <v>#N/A</v>
      </c>
      <c r="H1554" s="266" t="e">
        <v>#N/A</v>
      </c>
      <c r="I1554" s="267" t="e">
        <v>#N/A</v>
      </c>
      <c r="J1554" s="268" t="e">
        <v>#N/A</v>
      </c>
    </row>
    <row r="1555" spans="5:10" ht="12.75" hidden="1" customHeight="1" x14ac:dyDescent="0.25">
      <c r="E1555" s="305" t="e">
        <v>#VALUE!</v>
      </c>
      <c r="F1555" s="278" t="e">
        <f t="shared" si="23"/>
        <v>#VALUE!</v>
      </c>
      <c r="G1555" s="263" t="e">
        <v>#N/A</v>
      </c>
      <c r="H1555" s="266" t="e">
        <v>#N/A</v>
      </c>
      <c r="I1555" s="267" t="e">
        <v>#N/A</v>
      </c>
      <c r="J1555" s="268" t="e">
        <v>#N/A</v>
      </c>
    </row>
    <row r="1556" spans="5:10" ht="12.75" hidden="1" customHeight="1" x14ac:dyDescent="0.25">
      <c r="E1556" s="305" t="e">
        <v>#VALUE!</v>
      </c>
      <c r="F1556" s="278" t="e">
        <f t="shared" si="23"/>
        <v>#VALUE!</v>
      </c>
      <c r="G1556" s="263" t="e">
        <v>#N/A</v>
      </c>
      <c r="H1556" s="266" t="e">
        <v>#N/A</v>
      </c>
      <c r="I1556" s="267" t="e">
        <v>#N/A</v>
      </c>
      <c r="J1556" s="268" t="e">
        <v>#N/A</v>
      </c>
    </row>
    <row r="1557" spans="5:10" ht="12.75" hidden="1" customHeight="1" x14ac:dyDescent="0.25">
      <c r="E1557" s="305" t="e">
        <v>#VALUE!</v>
      </c>
      <c r="F1557" s="278" t="e">
        <f t="shared" si="23"/>
        <v>#VALUE!</v>
      </c>
      <c r="G1557" s="263" t="e">
        <v>#N/A</v>
      </c>
      <c r="H1557" s="266" t="e">
        <v>#N/A</v>
      </c>
      <c r="I1557" s="267" t="e">
        <v>#N/A</v>
      </c>
      <c r="J1557" s="268" t="e">
        <v>#N/A</v>
      </c>
    </row>
    <row r="1558" spans="5:10" ht="12.75" hidden="1" customHeight="1" x14ac:dyDescent="0.25">
      <c r="E1558" s="305" t="e">
        <v>#VALUE!</v>
      </c>
      <c r="F1558" s="278" t="e">
        <f t="shared" si="23"/>
        <v>#VALUE!</v>
      </c>
      <c r="G1558" s="263" t="e">
        <v>#N/A</v>
      </c>
      <c r="H1558" s="266" t="e">
        <v>#N/A</v>
      </c>
      <c r="I1558" s="267" t="e">
        <v>#N/A</v>
      </c>
      <c r="J1558" s="268" t="e">
        <v>#N/A</v>
      </c>
    </row>
    <row r="1559" spans="5:10" ht="12.75" hidden="1" customHeight="1" x14ac:dyDescent="0.25">
      <c r="E1559" s="305" t="e">
        <v>#VALUE!</v>
      </c>
      <c r="F1559" s="278" t="e">
        <f t="shared" si="23"/>
        <v>#VALUE!</v>
      </c>
      <c r="G1559" s="263" t="e">
        <v>#N/A</v>
      </c>
      <c r="H1559" s="266" t="e">
        <v>#N/A</v>
      </c>
      <c r="I1559" s="267" t="e">
        <v>#N/A</v>
      </c>
      <c r="J1559" s="268" t="e">
        <v>#N/A</v>
      </c>
    </row>
    <row r="1560" spans="5:10" ht="12.75" hidden="1" customHeight="1" x14ac:dyDescent="0.25">
      <c r="E1560" s="305" t="e">
        <v>#VALUE!</v>
      </c>
      <c r="F1560" s="278" t="e">
        <f t="shared" si="23"/>
        <v>#VALUE!</v>
      </c>
      <c r="G1560" s="263" t="e">
        <v>#N/A</v>
      </c>
      <c r="H1560" s="266" t="e">
        <v>#N/A</v>
      </c>
      <c r="I1560" s="267" t="e">
        <v>#N/A</v>
      </c>
      <c r="J1560" s="268" t="e">
        <v>#N/A</v>
      </c>
    </row>
    <row r="1561" spans="5:10" ht="12.75" hidden="1" customHeight="1" x14ac:dyDescent="0.25">
      <c r="E1561" s="305" t="e">
        <v>#VALUE!</v>
      </c>
      <c r="F1561" s="278" t="e">
        <f t="shared" si="23"/>
        <v>#VALUE!</v>
      </c>
      <c r="G1561" s="263" t="e">
        <v>#N/A</v>
      </c>
      <c r="H1561" s="266" t="e">
        <v>#N/A</v>
      </c>
      <c r="I1561" s="267" t="e">
        <v>#N/A</v>
      </c>
      <c r="J1561" s="268" t="e">
        <v>#N/A</v>
      </c>
    </row>
    <row r="1562" spans="5:10" ht="12.75" hidden="1" customHeight="1" x14ac:dyDescent="0.25">
      <c r="E1562" s="305" t="e">
        <v>#VALUE!</v>
      </c>
      <c r="F1562" s="278" t="e">
        <f t="shared" si="23"/>
        <v>#VALUE!</v>
      </c>
      <c r="G1562" s="263" t="e">
        <v>#N/A</v>
      </c>
      <c r="H1562" s="266" t="e">
        <v>#N/A</v>
      </c>
      <c r="I1562" s="267" t="e">
        <v>#N/A</v>
      </c>
      <c r="J1562" s="268" t="e">
        <v>#N/A</v>
      </c>
    </row>
    <row r="1563" spans="5:10" ht="12.75" hidden="1" customHeight="1" x14ac:dyDescent="0.25">
      <c r="E1563" s="305" t="e">
        <v>#VALUE!</v>
      </c>
      <c r="F1563" s="278" t="e">
        <f t="shared" si="23"/>
        <v>#VALUE!</v>
      </c>
      <c r="G1563" s="263" t="e">
        <v>#N/A</v>
      </c>
      <c r="H1563" s="266" t="e">
        <v>#N/A</v>
      </c>
      <c r="I1563" s="267" t="e">
        <v>#N/A</v>
      </c>
      <c r="J1563" s="268" t="e">
        <v>#N/A</v>
      </c>
    </row>
    <row r="1564" spans="5:10" ht="12.75" hidden="1" customHeight="1" x14ac:dyDescent="0.25">
      <c r="E1564" s="305" t="e">
        <v>#VALUE!</v>
      </c>
      <c r="F1564" s="278" t="e">
        <f t="shared" si="23"/>
        <v>#VALUE!</v>
      </c>
      <c r="G1564" s="263" t="e">
        <v>#N/A</v>
      </c>
      <c r="H1564" s="266" t="e">
        <v>#N/A</v>
      </c>
      <c r="I1564" s="267" t="e">
        <v>#N/A</v>
      </c>
      <c r="J1564" s="268" t="e">
        <v>#N/A</v>
      </c>
    </row>
    <row r="1565" spans="5:10" ht="12.75" hidden="1" customHeight="1" x14ac:dyDescent="0.25">
      <c r="E1565" s="305" t="e">
        <v>#VALUE!</v>
      </c>
      <c r="F1565" s="278" t="e">
        <f t="shared" si="23"/>
        <v>#VALUE!</v>
      </c>
      <c r="G1565" s="263" t="e">
        <v>#N/A</v>
      </c>
      <c r="H1565" s="266" t="e">
        <v>#N/A</v>
      </c>
      <c r="I1565" s="267" t="e">
        <v>#N/A</v>
      </c>
      <c r="J1565" s="268" t="e">
        <v>#N/A</v>
      </c>
    </row>
    <row r="1566" spans="5:10" ht="12.75" hidden="1" customHeight="1" x14ac:dyDescent="0.25">
      <c r="E1566" s="305" t="e">
        <v>#VALUE!</v>
      </c>
      <c r="F1566" s="278" t="e">
        <f t="shared" si="23"/>
        <v>#VALUE!</v>
      </c>
      <c r="G1566" s="263" t="e">
        <v>#N/A</v>
      </c>
      <c r="H1566" s="266" t="e">
        <v>#N/A</v>
      </c>
      <c r="I1566" s="267" t="e">
        <v>#N/A</v>
      </c>
      <c r="J1566" s="268" t="e">
        <v>#N/A</v>
      </c>
    </row>
    <row r="1567" spans="5:10" ht="12.75" hidden="1" customHeight="1" x14ac:dyDescent="0.25">
      <c r="E1567" s="305" t="e">
        <v>#VALUE!</v>
      </c>
      <c r="F1567" s="278" t="e">
        <f t="shared" si="23"/>
        <v>#VALUE!</v>
      </c>
      <c r="G1567" s="263" t="e">
        <v>#N/A</v>
      </c>
      <c r="H1567" s="266" t="e">
        <v>#N/A</v>
      </c>
      <c r="I1567" s="267" t="e">
        <v>#N/A</v>
      </c>
      <c r="J1567" s="268" t="e">
        <v>#N/A</v>
      </c>
    </row>
    <row r="1568" spans="5:10" ht="12.75" hidden="1" customHeight="1" x14ac:dyDescent="0.25">
      <c r="E1568" s="305" t="e">
        <v>#VALUE!</v>
      </c>
      <c r="F1568" s="278" t="e">
        <f t="shared" si="23"/>
        <v>#VALUE!</v>
      </c>
      <c r="G1568" s="263" t="e">
        <v>#N/A</v>
      </c>
      <c r="H1568" s="266" t="e">
        <v>#N/A</v>
      </c>
      <c r="I1568" s="267" t="e">
        <v>#N/A</v>
      </c>
      <c r="J1568" s="268" t="e">
        <v>#N/A</v>
      </c>
    </row>
    <row r="1569" spans="5:10" ht="12.75" hidden="1" customHeight="1" x14ac:dyDescent="0.25">
      <c r="E1569" s="305" t="e">
        <v>#VALUE!</v>
      </c>
      <c r="F1569" s="278" t="e">
        <f t="shared" si="23"/>
        <v>#VALUE!</v>
      </c>
      <c r="G1569" s="263" t="e">
        <v>#N/A</v>
      </c>
      <c r="H1569" s="266" t="e">
        <v>#N/A</v>
      </c>
      <c r="I1569" s="267" t="e">
        <v>#N/A</v>
      </c>
      <c r="J1569" s="268" t="e">
        <v>#N/A</v>
      </c>
    </row>
    <row r="1570" spans="5:10" ht="12.75" hidden="1" customHeight="1" x14ac:dyDescent="0.25">
      <c r="E1570" s="305" t="e">
        <v>#VALUE!</v>
      </c>
      <c r="F1570" s="278" t="e">
        <f t="shared" si="23"/>
        <v>#VALUE!</v>
      </c>
      <c r="G1570" s="263" t="e">
        <v>#N/A</v>
      </c>
      <c r="H1570" s="266" t="e">
        <v>#N/A</v>
      </c>
      <c r="I1570" s="267" t="e">
        <v>#N/A</v>
      </c>
      <c r="J1570" s="268" t="e">
        <v>#N/A</v>
      </c>
    </row>
    <row r="1571" spans="5:10" ht="12.75" hidden="1" customHeight="1" x14ac:dyDescent="0.25">
      <c r="E1571" s="305" t="e">
        <v>#VALUE!</v>
      </c>
      <c r="F1571" s="278" t="e">
        <f t="shared" si="23"/>
        <v>#VALUE!</v>
      </c>
      <c r="G1571" s="263" t="e">
        <v>#N/A</v>
      </c>
      <c r="H1571" s="266" t="e">
        <v>#N/A</v>
      </c>
      <c r="I1571" s="267" t="e">
        <v>#N/A</v>
      </c>
      <c r="J1571" s="268" t="e">
        <v>#N/A</v>
      </c>
    </row>
    <row r="1572" spans="5:10" ht="12.75" hidden="1" customHeight="1" x14ac:dyDescent="0.25">
      <c r="E1572" s="305" t="e">
        <v>#VALUE!</v>
      </c>
      <c r="F1572" s="278" t="e">
        <f t="shared" si="23"/>
        <v>#VALUE!</v>
      </c>
      <c r="G1572" s="263" t="e">
        <v>#N/A</v>
      </c>
      <c r="H1572" s="266" t="e">
        <v>#N/A</v>
      </c>
      <c r="I1572" s="267" t="e">
        <v>#N/A</v>
      </c>
      <c r="J1572" s="268" t="e">
        <v>#N/A</v>
      </c>
    </row>
    <row r="1573" spans="5:10" ht="12.75" hidden="1" customHeight="1" x14ac:dyDescent="0.25">
      <c r="E1573" s="305" t="e">
        <v>#VALUE!</v>
      </c>
      <c r="F1573" s="278" t="e">
        <f t="shared" si="23"/>
        <v>#VALUE!</v>
      </c>
      <c r="G1573" s="263" t="e">
        <v>#N/A</v>
      </c>
      <c r="H1573" s="266" t="e">
        <v>#N/A</v>
      </c>
      <c r="I1573" s="267" t="e">
        <v>#N/A</v>
      </c>
      <c r="J1573" s="268" t="e">
        <v>#N/A</v>
      </c>
    </row>
    <row r="1574" spans="5:10" ht="12.75" hidden="1" customHeight="1" x14ac:dyDescent="0.25">
      <c r="E1574" s="305" t="e">
        <v>#VALUE!</v>
      </c>
      <c r="F1574" s="278" t="e">
        <f t="shared" si="23"/>
        <v>#VALUE!</v>
      </c>
      <c r="G1574" s="263" t="e">
        <v>#N/A</v>
      </c>
      <c r="H1574" s="266" t="e">
        <v>#N/A</v>
      </c>
      <c r="I1574" s="267" t="e">
        <v>#N/A</v>
      </c>
      <c r="J1574" s="268" t="e">
        <v>#N/A</v>
      </c>
    </row>
    <row r="1575" spans="5:10" ht="12.75" hidden="1" customHeight="1" x14ac:dyDescent="0.25">
      <c r="E1575" s="305" t="e">
        <v>#VALUE!</v>
      </c>
      <c r="F1575" s="278" t="e">
        <f t="shared" si="23"/>
        <v>#VALUE!</v>
      </c>
      <c r="G1575" s="263" t="e">
        <v>#N/A</v>
      </c>
      <c r="H1575" s="266" t="e">
        <v>#N/A</v>
      </c>
      <c r="I1575" s="267" t="e">
        <v>#N/A</v>
      </c>
      <c r="J1575" s="268" t="e">
        <v>#N/A</v>
      </c>
    </row>
    <row r="1576" spans="5:10" ht="12.75" hidden="1" customHeight="1" x14ac:dyDescent="0.25">
      <c r="E1576" s="305" t="e">
        <v>#VALUE!</v>
      </c>
      <c r="F1576" s="278" t="e">
        <f t="shared" si="23"/>
        <v>#VALUE!</v>
      </c>
      <c r="G1576" s="263" t="e">
        <v>#N/A</v>
      </c>
      <c r="H1576" s="266" t="e">
        <v>#N/A</v>
      </c>
      <c r="I1576" s="267" t="e">
        <v>#N/A</v>
      </c>
      <c r="J1576" s="268" t="e">
        <v>#N/A</v>
      </c>
    </row>
    <row r="1577" spans="5:10" ht="12.75" hidden="1" customHeight="1" x14ac:dyDescent="0.25">
      <c r="E1577" s="305" t="e">
        <v>#VALUE!</v>
      </c>
      <c r="F1577" s="278" t="e">
        <f t="shared" si="23"/>
        <v>#VALUE!</v>
      </c>
      <c r="G1577" s="263" t="e">
        <v>#N/A</v>
      </c>
      <c r="H1577" s="266" t="e">
        <v>#N/A</v>
      </c>
      <c r="I1577" s="267" t="e">
        <v>#N/A</v>
      </c>
      <c r="J1577" s="268" t="e">
        <v>#N/A</v>
      </c>
    </row>
    <row r="1578" spans="5:10" ht="12.75" hidden="1" customHeight="1" x14ac:dyDescent="0.25">
      <c r="E1578" s="305" t="e">
        <v>#VALUE!</v>
      </c>
      <c r="F1578" s="278" t="e">
        <f t="shared" si="23"/>
        <v>#VALUE!</v>
      </c>
      <c r="G1578" s="263" t="e">
        <v>#N/A</v>
      </c>
      <c r="H1578" s="266" t="e">
        <v>#N/A</v>
      </c>
      <c r="I1578" s="267" t="e">
        <v>#N/A</v>
      </c>
      <c r="J1578" s="268" t="e">
        <v>#N/A</v>
      </c>
    </row>
    <row r="1579" spans="5:10" ht="12.75" hidden="1" customHeight="1" x14ac:dyDescent="0.25">
      <c r="E1579" s="305" t="e">
        <v>#VALUE!</v>
      </c>
      <c r="F1579" s="278" t="e">
        <f t="shared" si="23"/>
        <v>#VALUE!</v>
      </c>
      <c r="G1579" s="263" t="e">
        <v>#N/A</v>
      </c>
      <c r="H1579" s="266" t="e">
        <v>#N/A</v>
      </c>
      <c r="I1579" s="267" t="e">
        <v>#N/A</v>
      </c>
      <c r="J1579" s="268" t="e">
        <v>#N/A</v>
      </c>
    </row>
    <row r="1580" spans="5:10" ht="12.75" hidden="1" customHeight="1" x14ac:dyDescent="0.25">
      <c r="E1580" s="305" t="e">
        <v>#VALUE!</v>
      </c>
      <c r="F1580" s="278" t="e">
        <f t="shared" ref="F1580:F1620" si="24">C1580-D1580+E1580</f>
        <v>#VALUE!</v>
      </c>
      <c r="G1580" s="263" t="e">
        <v>#N/A</v>
      </c>
      <c r="H1580" s="266" t="e">
        <v>#N/A</v>
      </c>
      <c r="I1580" s="267" t="e">
        <v>#N/A</v>
      </c>
      <c r="J1580" s="268" t="e">
        <v>#N/A</v>
      </c>
    </row>
    <row r="1581" spans="5:10" ht="12.75" hidden="1" customHeight="1" x14ac:dyDescent="0.25">
      <c r="E1581" s="305" t="e">
        <v>#VALUE!</v>
      </c>
      <c r="F1581" s="278" t="e">
        <f t="shared" si="24"/>
        <v>#VALUE!</v>
      </c>
      <c r="G1581" s="263" t="e">
        <v>#N/A</v>
      </c>
      <c r="H1581" s="266" t="e">
        <v>#N/A</v>
      </c>
      <c r="I1581" s="267" t="e">
        <v>#N/A</v>
      </c>
      <c r="J1581" s="268" t="e">
        <v>#N/A</v>
      </c>
    </row>
    <row r="1582" spans="5:10" ht="12.75" hidden="1" customHeight="1" x14ac:dyDescent="0.25">
      <c r="E1582" s="305" t="e">
        <v>#VALUE!</v>
      </c>
      <c r="F1582" s="278" t="e">
        <f t="shared" si="24"/>
        <v>#VALUE!</v>
      </c>
      <c r="G1582" s="263" t="e">
        <v>#N/A</v>
      </c>
      <c r="H1582" s="266" t="e">
        <v>#N/A</v>
      </c>
      <c r="I1582" s="267" t="e">
        <v>#N/A</v>
      </c>
      <c r="J1582" s="268" t="e">
        <v>#N/A</v>
      </c>
    </row>
    <row r="1583" spans="5:10" ht="12.75" hidden="1" customHeight="1" x14ac:dyDescent="0.25">
      <c r="E1583" s="305" t="e">
        <v>#VALUE!</v>
      </c>
      <c r="F1583" s="278" t="e">
        <f t="shared" si="24"/>
        <v>#VALUE!</v>
      </c>
      <c r="G1583" s="263" t="e">
        <v>#N/A</v>
      </c>
      <c r="H1583" s="266" t="e">
        <v>#N/A</v>
      </c>
      <c r="I1583" s="267" t="e">
        <v>#N/A</v>
      </c>
      <c r="J1583" s="268" t="e">
        <v>#N/A</v>
      </c>
    </row>
    <row r="1584" spans="5:10" ht="12.75" hidden="1" customHeight="1" x14ac:dyDescent="0.25">
      <c r="E1584" s="305" t="e">
        <v>#VALUE!</v>
      </c>
      <c r="F1584" s="278" t="e">
        <f t="shared" si="24"/>
        <v>#VALUE!</v>
      </c>
      <c r="G1584" s="263" t="e">
        <v>#N/A</v>
      </c>
      <c r="H1584" s="266" t="e">
        <v>#N/A</v>
      </c>
      <c r="I1584" s="267" t="e">
        <v>#N/A</v>
      </c>
      <c r="J1584" s="268" t="e">
        <v>#N/A</v>
      </c>
    </row>
    <row r="1585" spans="5:10" ht="12.75" hidden="1" customHeight="1" x14ac:dyDescent="0.25">
      <c r="E1585" s="305" t="e">
        <v>#VALUE!</v>
      </c>
      <c r="F1585" s="278" t="e">
        <f t="shared" si="24"/>
        <v>#VALUE!</v>
      </c>
      <c r="G1585" s="263" t="e">
        <v>#N/A</v>
      </c>
      <c r="H1585" s="266" t="e">
        <v>#N/A</v>
      </c>
      <c r="I1585" s="267" t="e">
        <v>#N/A</v>
      </c>
      <c r="J1585" s="268" t="e">
        <v>#N/A</v>
      </c>
    </row>
    <row r="1586" spans="5:10" ht="12.75" hidden="1" customHeight="1" x14ac:dyDescent="0.25">
      <c r="E1586" s="305" t="e">
        <v>#VALUE!</v>
      </c>
      <c r="F1586" s="278" t="e">
        <f t="shared" si="24"/>
        <v>#VALUE!</v>
      </c>
      <c r="G1586" s="263" t="e">
        <v>#N/A</v>
      </c>
      <c r="H1586" s="266" t="e">
        <v>#N/A</v>
      </c>
      <c r="I1586" s="267" t="e">
        <v>#N/A</v>
      </c>
      <c r="J1586" s="268" t="e">
        <v>#N/A</v>
      </c>
    </row>
    <row r="1587" spans="5:10" ht="12.75" hidden="1" customHeight="1" x14ac:dyDescent="0.25">
      <c r="E1587" s="305" t="e">
        <v>#VALUE!</v>
      </c>
      <c r="F1587" s="278" t="e">
        <f t="shared" si="24"/>
        <v>#VALUE!</v>
      </c>
      <c r="G1587" s="263" t="e">
        <v>#N/A</v>
      </c>
      <c r="H1587" s="266" t="e">
        <v>#N/A</v>
      </c>
      <c r="I1587" s="267" t="e">
        <v>#N/A</v>
      </c>
      <c r="J1587" s="268" t="e">
        <v>#N/A</v>
      </c>
    </row>
    <row r="1588" spans="5:10" ht="12.75" hidden="1" customHeight="1" x14ac:dyDescent="0.25">
      <c r="E1588" s="305" t="e">
        <v>#VALUE!</v>
      </c>
      <c r="F1588" s="278" t="e">
        <f t="shared" si="24"/>
        <v>#VALUE!</v>
      </c>
      <c r="G1588" s="263" t="e">
        <v>#N/A</v>
      </c>
      <c r="H1588" s="266" t="e">
        <v>#N/A</v>
      </c>
      <c r="I1588" s="267" t="e">
        <v>#N/A</v>
      </c>
      <c r="J1588" s="268" t="e">
        <v>#N/A</v>
      </c>
    </row>
    <row r="1589" spans="5:10" ht="12.75" hidden="1" customHeight="1" x14ac:dyDescent="0.25">
      <c r="E1589" s="305" t="e">
        <v>#VALUE!</v>
      </c>
      <c r="F1589" s="278" t="e">
        <f t="shared" si="24"/>
        <v>#VALUE!</v>
      </c>
      <c r="G1589" s="263" t="e">
        <v>#N/A</v>
      </c>
      <c r="H1589" s="266" t="e">
        <v>#N/A</v>
      </c>
      <c r="I1589" s="267" t="e">
        <v>#N/A</v>
      </c>
      <c r="J1589" s="268" t="e">
        <v>#N/A</v>
      </c>
    </row>
    <row r="1590" spans="5:10" ht="12.75" hidden="1" customHeight="1" x14ac:dyDescent="0.25">
      <c r="E1590" s="305" t="e">
        <v>#VALUE!</v>
      </c>
      <c r="F1590" s="278" t="e">
        <f t="shared" si="24"/>
        <v>#VALUE!</v>
      </c>
      <c r="G1590" s="263" t="e">
        <v>#N/A</v>
      </c>
      <c r="H1590" s="266" t="e">
        <v>#N/A</v>
      </c>
      <c r="I1590" s="267" t="e">
        <v>#N/A</v>
      </c>
      <c r="J1590" s="268" t="e">
        <v>#N/A</v>
      </c>
    </row>
    <row r="1591" spans="5:10" ht="12.75" hidden="1" customHeight="1" x14ac:dyDescent="0.25">
      <c r="E1591" s="305" t="e">
        <v>#VALUE!</v>
      </c>
      <c r="F1591" s="278" t="e">
        <f t="shared" si="24"/>
        <v>#VALUE!</v>
      </c>
      <c r="G1591" s="263" t="e">
        <v>#N/A</v>
      </c>
      <c r="H1591" s="266" t="e">
        <v>#N/A</v>
      </c>
      <c r="I1591" s="267" t="e">
        <v>#N/A</v>
      </c>
      <c r="J1591" s="268" t="e">
        <v>#N/A</v>
      </c>
    </row>
    <row r="1592" spans="5:10" ht="12.75" hidden="1" customHeight="1" x14ac:dyDescent="0.25">
      <c r="E1592" s="305" t="e">
        <v>#VALUE!</v>
      </c>
      <c r="F1592" s="278" t="e">
        <f t="shared" si="24"/>
        <v>#VALUE!</v>
      </c>
      <c r="G1592" s="263" t="e">
        <v>#N/A</v>
      </c>
      <c r="H1592" s="266" t="e">
        <v>#N/A</v>
      </c>
      <c r="I1592" s="267" t="e">
        <v>#N/A</v>
      </c>
      <c r="J1592" s="268" t="e">
        <v>#N/A</v>
      </c>
    </row>
    <row r="1593" spans="5:10" ht="12.75" hidden="1" customHeight="1" x14ac:dyDescent="0.25">
      <c r="E1593" s="305" t="e">
        <v>#VALUE!</v>
      </c>
      <c r="F1593" s="278" t="e">
        <f t="shared" si="24"/>
        <v>#VALUE!</v>
      </c>
      <c r="G1593" s="263" t="e">
        <v>#N/A</v>
      </c>
      <c r="H1593" s="266" t="e">
        <v>#N/A</v>
      </c>
      <c r="I1593" s="267" t="e">
        <v>#N/A</v>
      </c>
      <c r="J1593" s="268" t="e">
        <v>#N/A</v>
      </c>
    </row>
    <row r="1594" spans="5:10" ht="12.75" hidden="1" customHeight="1" x14ac:dyDescent="0.25">
      <c r="E1594" s="305" t="e">
        <v>#VALUE!</v>
      </c>
      <c r="F1594" s="278" t="e">
        <f t="shared" si="24"/>
        <v>#VALUE!</v>
      </c>
      <c r="G1594" s="263" t="e">
        <v>#N/A</v>
      </c>
      <c r="H1594" s="266" t="e">
        <v>#N/A</v>
      </c>
      <c r="I1594" s="267" t="e">
        <v>#N/A</v>
      </c>
      <c r="J1594" s="268" t="e">
        <v>#N/A</v>
      </c>
    </row>
    <row r="1595" spans="5:10" ht="12.75" hidden="1" customHeight="1" x14ac:dyDescent="0.25">
      <c r="E1595" s="305" t="e">
        <v>#VALUE!</v>
      </c>
      <c r="F1595" s="278" t="e">
        <f t="shared" si="24"/>
        <v>#VALUE!</v>
      </c>
      <c r="G1595" s="263" t="e">
        <v>#N/A</v>
      </c>
      <c r="H1595" s="266" t="e">
        <v>#N/A</v>
      </c>
      <c r="I1595" s="267" t="e">
        <v>#N/A</v>
      </c>
      <c r="J1595" s="268" t="e">
        <v>#N/A</v>
      </c>
    </row>
    <row r="1596" spans="5:10" ht="12.75" hidden="1" customHeight="1" x14ac:dyDescent="0.25">
      <c r="E1596" s="305" t="e">
        <v>#VALUE!</v>
      </c>
      <c r="F1596" s="278" t="e">
        <f t="shared" si="24"/>
        <v>#VALUE!</v>
      </c>
      <c r="G1596" s="263" t="e">
        <v>#N/A</v>
      </c>
      <c r="H1596" s="266" t="e">
        <v>#N/A</v>
      </c>
      <c r="I1596" s="267" t="e">
        <v>#N/A</v>
      </c>
      <c r="J1596" s="268" t="e">
        <v>#N/A</v>
      </c>
    </row>
    <row r="1597" spans="5:10" ht="12.75" hidden="1" customHeight="1" x14ac:dyDescent="0.25">
      <c r="E1597" s="305" t="e">
        <v>#VALUE!</v>
      </c>
      <c r="F1597" s="278" t="e">
        <f t="shared" si="24"/>
        <v>#VALUE!</v>
      </c>
      <c r="G1597" s="263" t="e">
        <v>#N/A</v>
      </c>
      <c r="H1597" s="266" t="e">
        <v>#N/A</v>
      </c>
      <c r="I1597" s="267" t="e">
        <v>#N/A</v>
      </c>
      <c r="J1597" s="268" t="e">
        <v>#N/A</v>
      </c>
    </row>
    <row r="1598" spans="5:10" ht="12.75" hidden="1" customHeight="1" x14ac:dyDescent="0.25">
      <c r="E1598" s="305" t="e">
        <v>#VALUE!</v>
      </c>
      <c r="F1598" s="278" t="e">
        <f t="shared" si="24"/>
        <v>#VALUE!</v>
      </c>
      <c r="G1598" s="263" t="e">
        <v>#N/A</v>
      </c>
      <c r="H1598" s="266" t="e">
        <v>#N/A</v>
      </c>
      <c r="I1598" s="267" t="e">
        <v>#N/A</v>
      </c>
      <c r="J1598" s="268" t="e">
        <v>#N/A</v>
      </c>
    </row>
    <row r="1599" spans="5:10" ht="12.75" hidden="1" customHeight="1" x14ac:dyDescent="0.25">
      <c r="E1599" s="305" t="e">
        <v>#VALUE!</v>
      </c>
      <c r="F1599" s="278" t="e">
        <f t="shared" si="24"/>
        <v>#VALUE!</v>
      </c>
      <c r="G1599" s="263" t="e">
        <v>#N/A</v>
      </c>
      <c r="H1599" s="266" t="e">
        <v>#N/A</v>
      </c>
      <c r="I1599" s="267" t="e">
        <v>#N/A</v>
      </c>
      <c r="J1599" s="268" t="e">
        <v>#N/A</v>
      </c>
    </row>
    <row r="1600" spans="5:10" ht="12.75" hidden="1" customHeight="1" x14ac:dyDescent="0.25">
      <c r="E1600" s="305" t="e">
        <v>#VALUE!</v>
      </c>
      <c r="F1600" s="278" t="e">
        <f t="shared" si="24"/>
        <v>#VALUE!</v>
      </c>
      <c r="G1600" s="263" t="e">
        <v>#N/A</v>
      </c>
      <c r="H1600" s="266" t="e">
        <v>#N/A</v>
      </c>
      <c r="I1600" s="267" t="e">
        <v>#N/A</v>
      </c>
      <c r="J1600" s="268" t="e">
        <v>#N/A</v>
      </c>
    </row>
    <row r="1601" spans="5:10" ht="12.75" hidden="1" customHeight="1" x14ac:dyDescent="0.25">
      <c r="E1601" s="305" t="e">
        <v>#VALUE!</v>
      </c>
      <c r="F1601" s="278" t="e">
        <f t="shared" si="24"/>
        <v>#VALUE!</v>
      </c>
      <c r="G1601" s="263" t="e">
        <v>#N/A</v>
      </c>
      <c r="H1601" s="266" t="e">
        <v>#N/A</v>
      </c>
      <c r="I1601" s="267" t="e">
        <v>#N/A</v>
      </c>
      <c r="J1601" s="268" t="e">
        <v>#N/A</v>
      </c>
    </row>
    <row r="1602" spans="5:10" ht="12.75" hidden="1" customHeight="1" x14ac:dyDescent="0.25">
      <c r="E1602" s="305" t="e">
        <v>#VALUE!</v>
      </c>
      <c r="F1602" s="278" t="e">
        <f t="shared" si="24"/>
        <v>#VALUE!</v>
      </c>
      <c r="G1602" s="263" t="e">
        <v>#N/A</v>
      </c>
      <c r="H1602" s="266" t="e">
        <v>#N/A</v>
      </c>
      <c r="I1602" s="267" t="e">
        <v>#N/A</v>
      </c>
      <c r="J1602" s="268" t="e">
        <v>#N/A</v>
      </c>
    </row>
    <row r="1603" spans="5:10" ht="12.75" hidden="1" customHeight="1" x14ac:dyDescent="0.25">
      <c r="E1603" s="305" t="e">
        <v>#VALUE!</v>
      </c>
      <c r="F1603" s="278" t="e">
        <f t="shared" si="24"/>
        <v>#VALUE!</v>
      </c>
      <c r="G1603" s="263" t="e">
        <v>#N/A</v>
      </c>
      <c r="H1603" s="266" t="e">
        <v>#N/A</v>
      </c>
      <c r="I1603" s="267" t="e">
        <v>#N/A</v>
      </c>
      <c r="J1603" s="268" t="e">
        <v>#N/A</v>
      </c>
    </row>
    <row r="1604" spans="5:10" ht="12.75" hidden="1" customHeight="1" x14ac:dyDescent="0.25">
      <c r="E1604" s="305" t="e">
        <v>#VALUE!</v>
      </c>
      <c r="F1604" s="278" t="e">
        <f t="shared" si="24"/>
        <v>#VALUE!</v>
      </c>
      <c r="G1604" s="263" t="e">
        <v>#N/A</v>
      </c>
      <c r="H1604" s="266" t="e">
        <v>#N/A</v>
      </c>
      <c r="I1604" s="267" t="e">
        <v>#N/A</v>
      </c>
      <c r="J1604" s="268" t="e">
        <v>#N/A</v>
      </c>
    </row>
    <row r="1605" spans="5:10" ht="12.75" hidden="1" customHeight="1" x14ac:dyDescent="0.25">
      <c r="E1605" s="305" t="e">
        <v>#VALUE!</v>
      </c>
      <c r="F1605" s="278" t="e">
        <f t="shared" si="24"/>
        <v>#VALUE!</v>
      </c>
      <c r="G1605" s="263" t="e">
        <v>#N/A</v>
      </c>
      <c r="H1605" s="266" t="e">
        <v>#N/A</v>
      </c>
      <c r="I1605" s="267" t="e">
        <v>#N/A</v>
      </c>
      <c r="J1605" s="268" t="e">
        <v>#N/A</v>
      </c>
    </row>
    <row r="1606" spans="5:10" ht="12.75" hidden="1" customHeight="1" x14ac:dyDescent="0.25">
      <c r="E1606" s="305" t="e">
        <v>#VALUE!</v>
      </c>
      <c r="F1606" s="278" t="e">
        <f t="shared" si="24"/>
        <v>#VALUE!</v>
      </c>
      <c r="G1606" s="263" t="e">
        <v>#N/A</v>
      </c>
      <c r="H1606" s="266" t="e">
        <v>#N/A</v>
      </c>
      <c r="I1606" s="267" t="e">
        <v>#N/A</v>
      </c>
      <c r="J1606" s="268" t="e">
        <v>#N/A</v>
      </c>
    </row>
    <row r="1607" spans="5:10" ht="12.75" hidden="1" customHeight="1" x14ac:dyDescent="0.25">
      <c r="E1607" s="305" t="e">
        <v>#VALUE!</v>
      </c>
      <c r="F1607" s="278" t="e">
        <f t="shared" si="24"/>
        <v>#VALUE!</v>
      </c>
      <c r="G1607" s="263" t="e">
        <v>#N/A</v>
      </c>
      <c r="H1607" s="266" t="e">
        <v>#N/A</v>
      </c>
      <c r="I1607" s="267" t="e">
        <v>#N/A</v>
      </c>
      <c r="J1607" s="268" t="e">
        <v>#N/A</v>
      </c>
    </row>
    <row r="1608" spans="5:10" ht="12.75" hidden="1" customHeight="1" x14ac:dyDescent="0.25">
      <c r="E1608" s="305" t="e">
        <v>#VALUE!</v>
      </c>
      <c r="F1608" s="278" t="e">
        <f t="shared" si="24"/>
        <v>#VALUE!</v>
      </c>
      <c r="G1608" s="263" t="e">
        <v>#N/A</v>
      </c>
      <c r="H1608" s="266" t="e">
        <v>#N/A</v>
      </c>
      <c r="I1608" s="267" t="e">
        <v>#N/A</v>
      </c>
      <c r="J1608" s="268" t="e">
        <v>#N/A</v>
      </c>
    </row>
    <row r="1609" spans="5:10" ht="12.75" hidden="1" customHeight="1" x14ac:dyDescent="0.25">
      <c r="E1609" s="305" t="e">
        <v>#VALUE!</v>
      </c>
      <c r="F1609" s="278" t="e">
        <f t="shared" si="24"/>
        <v>#VALUE!</v>
      </c>
      <c r="G1609" s="263" t="e">
        <v>#N/A</v>
      </c>
      <c r="H1609" s="266" t="e">
        <v>#N/A</v>
      </c>
      <c r="I1609" s="267" t="e">
        <v>#N/A</v>
      </c>
      <c r="J1609" s="268" t="e">
        <v>#N/A</v>
      </c>
    </row>
    <row r="1610" spans="5:10" ht="12.75" hidden="1" customHeight="1" x14ac:dyDescent="0.25">
      <c r="E1610" s="305" t="e">
        <v>#VALUE!</v>
      </c>
      <c r="F1610" s="278" t="e">
        <f t="shared" si="24"/>
        <v>#VALUE!</v>
      </c>
      <c r="G1610" s="263" t="e">
        <v>#N/A</v>
      </c>
      <c r="H1610" s="266" t="e">
        <v>#N/A</v>
      </c>
      <c r="I1610" s="267" t="e">
        <v>#N/A</v>
      </c>
      <c r="J1610" s="268" t="e">
        <v>#N/A</v>
      </c>
    </row>
    <row r="1611" spans="5:10" ht="12.75" hidden="1" customHeight="1" x14ac:dyDescent="0.25">
      <c r="E1611" s="305" t="e">
        <v>#VALUE!</v>
      </c>
      <c r="F1611" s="278" t="e">
        <f t="shared" si="24"/>
        <v>#VALUE!</v>
      </c>
      <c r="G1611" s="263" t="e">
        <v>#N/A</v>
      </c>
      <c r="H1611" s="266" t="e">
        <v>#N/A</v>
      </c>
      <c r="I1611" s="267" t="e">
        <v>#N/A</v>
      </c>
      <c r="J1611" s="268" t="e">
        <v>#N/A</v>
      </c>
    </row>
    <row r="1612" spans="5:10" ht="12.75" hidden="1" customHeight="1" x14ac:dyDescent="0.25">
      <c r="E1612" s="305" t="e">
        <v>#VALUE!</v>
      </c>
      <c r="F1612" s="278" t="e">
        <f t="shared" si="24"/>
        <v>#VALUE!</v>
      </c>
      <c r="G1612" s="263" t="e">
        <v>#N/A</v>
      </c>
      <c r="H1612" s="266" t="e">
        <v>#N/A</v>
      </c>
      <c r="I1612" s="267" t="e">
        <v>#N/A</v>
      </c>
      <c r="J1612" s="268" t="e">
        <v>#N/A</v>
      </c>
    </row>
    <row r="1613" spans="5:10" ht="12.75" hidden="1" customHeight="1" x14ac:dyDescent="0.25">
      <c r="E1613" s="305" t="e">
        <v>#VALUE!</v>
      </c>
      <c r="F1613" s="278" t="e">
        <f t="shared" si="24"/>
        <v>#VALUE!</v>
      </c>
      <c r="G1613" s="263" t="e">
        <v>#N/A</v>
      </c>
      <c r="H1613" s="266" t="e">
        <v>#N/A</v>
      </c>
      <c r="I1613" s="267" t="e">
        <v>#N/A</v>
      </c>
      <c r="J1613" s="268" t="e">
        <v>#N/A</v>
      </c>
    </row>
    <row r="1614" spans="5:10" ht="12.75" hidden="1" customHeight="1" x14ac:dyDescent="0.25">
      <c r="E1614" s="305" t="e">
        <v>#VALUE!</v>
      </c>
      <c r="F1614" s="278" t="e">
        <f t="shared" si="24"/>
        <v>#VALUE!</v>
      </c>
      <c r="G1614" s="263" t="e">
        <v>#N/A</v>
      </c>
      <c r="H1614" s="266" t="e">
        <v>#N/A</v>
      </c>
      <c r="I1614" s="267" t="e">
        <v>#N/A</v>
      </c>
      <c r="J1614" s="268" t="e">
        <v>#N/A</v>
      </c>
    </row>
    <row r="1615" spans="5:10" ht="12.75" hidden="1" customHeight="1" x14ac:dyDescent="0.25">
      <c r="E1615" s="305" t="e">
        <v>#VALUE!</v>
      </c>
      <c r="F1615" s="278" t="e">
        <f t="shared" si="24"/>
        <v>#VALUE!</v>
      </c>
      <c r="G1615" s="263" t="e">
        <v>#N/A</v>
      </c>
      <c r="H1615" s="266" t="e">
        <v>#N/A</v>
      </c>
      <c r="I1615" s="267" t="e">
        <v>#N/A</v>
      </c>
      <c r="J1615" s="268" t="e">
        <v>#N/A</v>
      </c>
    </row>
    <row r="1616" spans="5:10" ht="12.75" hidden="1" customHeight="1" x14ac:dyDescent="0.25">
      <c r="E1616" s="305" t="e">
        <v>#VALUE!</v>
      </c>
      <c r="F1616" s="278" t="e">
        <f t="shared" si="24"/>
        <v>#VALUE!</v>
      </c>
      <c r="G1616" s="263" t="e">
        <v>#N/A</v>
      </c>
      <c r="H1616" s="266" t="e">
        <v>#N/A</v>
      </c>
      <c r="I1616" s="267" t="e">
        <v>#N/A</v>
      </c>
      <c r="J1616" s="268" t="e">
        <v>#N/A</v>
      </c>
    </row>
    <row r="1617" spans="5:10" ht="12.75" hidden="1" customHeight="1" x14ac:dyDescent="0.25">
      <c r="E1617" s="305" t="e">
        <v>#VALUE!</v>
      </c>
      <c r="F1617" s="278" t="e">
        <f t="shared" si="24"/>
        <v>#VALUE!</v>
      </c>
      <c r="G1617" s="263" t="e">
        <v>#N/A</v>
      </c>
      <c r="H1617" s="266" t="e">
        <v>#N/A</v>
      </c>
      <c r="I1617" s="267" t="e">
        <v>#N/A</v>
      </c>
      <c r="J1617" s="268" t="e">
        <v>#N/A</v>
      </c>
    </row>
    <row r="1618" spans="5:10" ht="12.75" hidden="1" customHeight="1" x14ac:dyDescent="0.25">
      <c r="E1618" s="305" t="e">
        <v>#VALUE!</v>
      </c>
      <c r="F1618" s="278" t="e">
        <f t="shared" si="24"/>
        <v>#VALUE!</v>
      </c>
      <c r="G1618" s="263" t="e">
        <v>#N/A</v>
      </c>
      <c r="H1618" s="266" t="e">
        <v>#N/A</v>
      </c>
      <c r="I1618" s="267" t="e">
        <v>#N/A</v>
      </c>
      <c r="J1618" s="268" t="e">
        <v>#N/A</v>
      </c>
    </row>
    <row r="1619" spans="5:10" ht="12.75" hidden="1" customHeight="1" x14ac:dyDescent="0.25">
      <c r="E1619" s="305" t="e">
        <v>#VALUE!</v>
      </c>
      <c r="F1619" s="278" t="e">
        <f t="shared" si="24"/>
        <v>#VALUE!</v>
      </c>
      <c r="G1619" s="263" t="e">
        <v>#N/A</v>
      </c>
      <c r="H1619" s="266" t="e">
        <v>#N/A</v>
      </c>
      <c r="I1619" s="267" t="e">
        <v>#N/A</v>
      </c>
      <c r="J1619" s="268" t="e">
        <v>#N/A</v>
      </c>
    </row>
    <row r="1620" spans="5:10" ht="12.75" hidden="1" customHeight="1" x14ac:dyDescent="0.25">
      <c r="E1620" s="305" t="e">
        <v>#VALUE!</v>
      </c>
      <c r="F1620" s="278" t="e">
        <f t="shared" si="24"/>
        <v>#VALUE!</v>
      </c>
      <c r="G1620" s="263" t="e">
        <v>#N/A</v>
      </c>
      <c r="H1620" s="266" t="e">
        <v>#N/A</v>
      </c>
      <c r="I1620" s="267" t="e">
        <v>#N/A</v>
      </c>
      <c r="J1620" s="268" t="e">
        <v>#N/A</v>
      </c>
    </row>
    <row r="1621" spans="5:10" ht="13" x14ac:dyDescent="0.3">
      <c r="F1621" s="650"/>
    </row>
    <row r="1622" spans="5:10" ht="13" x14ac:dyDescent="0.3">
      <c r="F1622" s="650"/>
    </row>
    <row r="1624" spans="5:10" x14ac:dyDescent="0.25">
      <c r="F1624" s="651"/>
    </row>
  </sheetData>
  <autoFilter ref="A3:J1620" xr:uid="{00000000-0009-0000-0000-00000B000000}">
    <filterColumn colId="7">
      <filters>
        <filter val="Parks, gardens &amp; open Spaces"/>
      </filters>
    </filterColumn>
  </autoFilter>
  <phoneticPr fontId="93" type="noConversion"/>
  <pageMargins left="0.75" right="0.75" top="1" bottom="1" header="0.5" footer="0.5"/>
  <pageSetup paperSize="9" scale="34" fitToHeight="2"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1"/>
  </sheetPr>
  <dimension ref="A1:Q47"/>
  <sheetViews>
    <sheetView zoomScale="85" zoomScaleNormal="85" workbookViewId="0">
      <selection activeCell="C10" sqref="C10"/>
    </sheetView>
  </sheetViews>
  <sheetFormatPr defaultColWidth="9.296875" defaultRowHeight="12.5" x14ac:dyDescent="0.25"/>
  <cols>
    <col min="1" max="1" width="13.19921875" style="266" customWidth="1"/>
    <col min="2" max="2" width="66.19921875" style="266" bestFit="1" customWidth="1"/>
    <col min="3" max="3" width="11.5" style="266" bestFit="1" customWidth="1"/>
    <col min="4" max="17" width="9.296875" style="267"/>
    <col min="18" max="16384" width="9.296875" style="266"/>
  </cols>
  <sheetData>
    <row r="1" spans="1:17" s="294" customFormat="1" ht="13" x14ac:dyDescent="0.3">
      <c r="A1" s="291" t="s">
        <v>716</v>
      </c>
      <c r="B1" s="291"/>
      <c r="C1" s="292" t="s">
        <v>275</v>
      </c>
      <c r="D1" s="293" t="s">
        <v>717</v>
      </c>
      <c r="E1" s="293"/>
      <c r="F1" s="293"/>
      <c r="G1" s="293"/>
      <c r="H1" s="293"/>
      <c r="I1" s="293"/>
      <c r="J1" s="293"/>
      <c r="K1" s="293"/>
      <c r="L1" s="293"/>
      <c r="M1" s="293"/>
      <c r="N1" s="293"/>
      <c r="O1" s="293"/>
      <c r="P1" s="293"/>
      <c r="Q1" s="293"/>
    </row>
    <row r="2" spans="1:17" ht="13" x14ac:dyDescent="0.3">
      <c r="A2" s="295"/>
      <c r="B2" s="295"/>
      <c r="C2" s="296"/>
    </row>
    <row r="3" spans="1:17" x14ac:dyDescent="0.25">
      <c r="A3" s="266">
        <v>37910145</v>
      </c>
      <c r="C3" s="297"/>
      <c r="D3" s="267">
        <v>5583.35</v>
      </c>
      <c r="E3" s="267" t="s">
        <v>718</v>
      </c>
    </row>
    <row r="5" spans="1:17" ht="13" x14ac:dyDescent="0.3">
      <c r="A5" s="312">
        <v>39100199</v>
      </c>
      <c r="B5" s="313" t="s">
        <v>290</v>
      </c>
      <c r="C5" s="314">
        <v>-401.83</v>
      </c>
      <c r="D5" s="315" t="s">
        <v>719</v>
      </c>
      <c r="E5" s="316"/>
    </row>
    <row r="6" spans="1:17" ht="13" x14ac:dyDescent="0.3">
      <c r="A6" s="312">
        <v>37100126</v>
      </c>
      <c r="B6" s="313" t="s">
        <v>720</v>
      </c>
      <c r="C6" s="314">
        <v>401.83</v>
      </c>
      <c r="D6" s="315" t="s">
        <v>721</v>
      </c>
      <c r="E6" s="316"/>
    </row>
    <row r="7" spans="1:17" ht="13" x14ac:dyDescent="0.3">
      <c r="A7" s="312"/>
      <c r="B7" s="312"/>
      <c r="C7" s="314"/>
      <c r="D7" s="315"/>
      <c r="E7" s="316"/>
    </row>
    <row r="8" spans="1:17" ht="13" x14ac:dyDescent="0.3">
      <c r="A8" s="312">
        <v>27110199</v>
      </c>
      <c r="B8" s="313" t="s">
        <v>722</v>
      </c>
      <c r="C8" s="314">
        <v>-522.23</v>
      </c>
      <c r="D8" s="315"/>
      <c r="E8" s="316"/>
    </row>
    <row r="9" spans="1:17" ht="13" x14ac:dyDescent="0.3">
      <c r="A9" s="312">
        <v>27100199</v>
      </c>
      <c r="B9" s="313" t="s">
        <v>723</v>
      </c>
      <c r="C9" s="314">
        <v>522.23</v>
      </c>
      <c r="D9" s="315"/>
      <c r="E9" s="316"/>
    </row>
    <row r="16" spans="1:17" s="279" customFormat="1" x14ac:dyDescent="0.25">
      <c r="A16" s="279" t="s">
        <v>724</v>
      </c>
    </row>
    <row r="17" spans="1:17" ht="13" x14ac:dyDescent="0.3">
      <c r="A17" s="287" t="s">
        <v>716</v>
      </c>
      <c r="B17" s="287" t="s">
        <v>725</v>
      </c>
      <c r="C17" s="298" t="s">
        <v>726</v>
      </c>
    </row>
    <row r="18" spans="1:17" ht="13" x14ac:dyDescent="0.3">
      <c r="A18" s="652">
        <v>27100199</v>
      </c>
      <c r="B18" s="652" t="s">
        <v>727</v>
      </c>
      <c r="C18" s="299"/>
      <c r="E18" s="267" t="s">
        <v>728</v>
      </c>
    </row>
    <row r="19" spans="1:17" ht="13" x14ac:dyDescent="0.3">
      <c r="A19" s="652">
        <v>27110199</v>
      </c>
      <c r="B19" s="652" t="s">
        <v>729</v>
      </c>
      <c r="C19" s="299"/>
      <c r="E19" s="267" t="s">
        <v>728</v>
      </c>
    </row>
    <row r="20" spans="1:17" ht="13" x14ac:dyDescent="0.3">
      <c r="A20" s="652">
        <v>27140199</v>
      </c>
      <c r="B20" s="652" t="s">
        <v>730</v>
      </c>
      <c r="C20" s="299"/>
      <c r="E20" s="267" t="s">
        <v>728</v>
      </c>
    </row>
    <row r="21" spans="1:17" s="295" customFormat="1" ht="13" x14ac:dyDescent="0.3">
      <c r="A21" s="653">
        <v>37100120</v>
      </c>
      <c r="B21" s="263" t="s">
        <v>731</v>
      </c>
      <c r="C21" s="299"/>
      <c r="D21" s="300"/>
      <c r="E21" s="267" t="s">
        <v>728</v>
      </c>
      <c r="F21" s="300"/>
      <c r="G21" s="300"/>
      <c r="H21" s="300"/>
      <c r="I21" s="300"/>
      <c r="J21" s="300"/>
      <c r="K21" s="300"/>
      <c r="L21" s="300"/>
      <c r="M21" s="300"/>
      <c r="N21" s="300"/>
      <c r="O21" s="300"/>
      <c r="P21" s="300"/>
      <c r="Q21" s="300"/>
    </row>
    <row r="22" spans="1:17" ht="13" x14ac:dyDescent="0.3">
      <c r="A22" s="652">
        <v>37120120</v>
      </c>
      <c r="B22" s="652" t="s">
        <v>732</v>
      </c>
      <c r="C22" s="299"/>
      <c r="E22" s="267" t="s">
        <v>733</v>
      </c>
    </row>
    <row r="23" spans="1:17" s="295" customFormat="1" ht="13" x14ac:dyDescent="0.3">
      <c r="A23" s="653">
        <v>37130127</v>
      </c>
      <c r="B23" s="263" t="s">
        <v>734</v>
      </c>
      <c r="C23" s="299"/>
      <c r="D23" s="300"/>
      <c r="E23" s="267" t="s">
        <v>728</v>
      </c>
      <c r="F23" s="300"/>
      <c r="G23" s="300"/>
      <c r="H23" s="300"/>
      <c r="I23" s="300"/>
      <c r="J23" s="300"/>
      <c r="K23" s="300"/>
      <c r="L23" s="300"/>
      <c r="M23" s="300"/>
      <c r="N23" s="300"/>
      <c r="O23" s="300"/>
      <c r="P23" s="300"/>
      <c r="Q23" s="300"/>
    </row>
    <row r="24" spans="1:17" ht="13" x14ac:dyDescent="0.3">
      <c r="A24" s="652">
        <v>37140166</v>
      </c>
      <c r="B24" s="652" t="s">
        <v>735</v>
      </c>
      <c r="C24" s="299"/>
      <c r="E24" s="267" t="s">
        <v>728</v>
      </c>
    </row>
    <row r="25" spans="1:17" x14ac:dyDescent="0.25">
      <c r="A25" s="652">
        <v>44420299</v>
      </c>
      <c r="B25" s="652" t="s">
        <v>736</v>
      </c>
      <c r="C25" s="654"/>
    </row>
    <row r="26" spans="1:17" ht="13" x14ac:dyDescent="0.3">
      <c r="A26" s="652"/>
      <c r="B26" s="652"/>
      <c r="C26" s="299"/>
    </row>
    <row r="27" spans="1:17" ht="13" x14ac:dyDescent="0.3">
      <c r="A27" s="655">
        <v>37110115</v>
      </c>
      <c r="B27" s="655" t="s">
        <v>473</v>
      </c>
      <c r="C27" s="299"/>
      <c r="E27" s="267" t="s">
        <v>737</v>
      </c>
    </row>
    <row r="28" spans="1:17" ht="13" x14ac:dyDescent="0.3">
      <c r="A28" s="652">
        <v>44450299</v>
      </c>
      <c r="B28" s="652" t="s">
        <v>738</v>
      </c>
      <c r="C28" s="299"/>
    </row>
    <row r="29" spans="1:17" s="295" customFormat="1" ht="13" x14ac:dyDescent="0.3">
      <c r="A29" s="656">
        <v>44550199</v>
      </c>
      <c r="B29" s="656" t="s">
        <v>603</v>
      </c>
      <c r="C29" s="301"/>
      <c r="D29" s="300"/>
      <c r="E29" s="300" t="s">
        <v>739</v>
      </c>
      <c r="F29" s="300"/>
      <c r="G29" s="300"/>
      <c r="H29" s="300"/>
      <c r="I29" s="300"/>
      <c r="J29" s="300"/>
      <c r="K29" s="300"/>
      <c r="L29" s="300"/>
      <c r="M29" s="300"/>
      <c r="N29" s="300"/>
      <c r="O29" s="300"/>
      <c r="P29" s="300"/>
      <c r="Q29" s="300"/>
    </row>
    <row r="30" spans="1:17" ht="13" x14ac:dyDescent="0.3">
      <c r="A30" s="652">
        <v>47110101</v>
      </c>
      <c r="B30" s="652" t="s">
        <v>740</v>
      </c>
      <c r="C30" s="299"/>
    </row>
    <row r="31" spans="1:17" ht="13" x14ac:dyDescent="0.3">
      <c r="A31" s="652">
        <v>47100101</v>
      </c>
      <c r="B31" s="652" t="s">
        <v>741</v>
      </c>
      <c r="C31" s="299"/>
      <c r="E31" s="267" t="s">
        <v>728</v>
      </c>
    </row>
    <row r="32" spans="1:17" ht="13" x14ac:dyDescent="0.3">
      <c r="A32" s="652">
        <v>4714010</v>
      </c>
      <c r="B32" s="652" t="s">
        <v>742</v>
      </c>
      <c r="C32" s="299"/>
      <c r="E32" s="267" t="s">
        <v>728</v>
      </c>
    </row>
    <row r="33" spans="1:17" ht="13" x14ac:dyDescent="0.3">
      <c r="A33" s="657">
        <v>48100199</v>
      </c>
      <c r="B33" s="652" t="s">
        <v>743</v>
      </c>
      <c r="C33" s="299"/>
      <c r="E33" s="267" t="s">
        <v>733</v>
      </c>
    </row>
    <row r="34" spans="1:17" s="295" customFormat="1" ht="13" x14ac:dyDescent="0.3">
      <c r="A34" s="658">
        <v>48210299</v>
      </c>
      <c r="B34" s="302" t="s">
        <v>744</v>
      </c>
      <c r="C34" s="299"/>
      <c r="D34" s="300"/>
      <c r="E34" s="300" t="s">
        <v>739</v>
      </c>
      <c r="F34" s="300"/>
      <c r="G34" s="300"/>
      <c r="H34" s="300"/>
      <c r="I34" s="300"/>
      <c r="J34" s="300"/>
      <c r="K34" s="300"/>
      <c r="L34" s="300"/>
      <c r="M34" s="300"/>
      <c r="N34" s="300"/>
      <c r="O34" s="300"/>
      <c r="P34" s="300"/>
      <c r="Q34" s="300"/>
    </row>
    <row r="35" spans="1:17" ht="13" x14ac:dyDescent="0.3">
      <c r="A35" s="652">
        <v>87110174</v>
      </c>
      <c r="B35" s="652" t="s">
        <v>745</v>
      </c>
      <c r="C35" s="299"/>
      <c r="E35" s="267" t="s">
        <v>733</v>
      </c>
    </row>
    <row r="36" spans="1:17" ht="13" x14ac:dyDescent="0.3">
      <c r="A36" s="652">
        <v>87140174</v>
      </c>
      <c r="B36" s="652" t="s">
        <v>746</v>
      </c>
      <c r="C36" s="299"/>
      <c r="E36" s="267" t="s">
        <v>733</v>
      </c>
    </row>
    <row r="37" spans="1:17" s="295" customFormat="1" ht="13" x14ac:dyDescent="0.3">
      <c r="A37" s="658">
        <v>34200128</v>
      </c>
      <c r="B37" s="302" t="s">
        <v>747</v>
      </c>
      <c r="C37" s="301"/>
      <c r="D37" s="300"/>
      <c r="E37" s="300" t="s">
        <v>728</v>
      </c>
      <c r="F37" s="300"/>
      <c r="G37" s="300"/>
      <c r="H37" s="300"/>
      <c r="I37" s="300"/>
      <c r="J37" s="300"/>
      <c r="K37" s="300"/>
      <c r="L37" s="300"/>
      <c r="M37" s="300"/>
      <c r="N37" s="300"/>
      <c r="O37" s="300"/>
      <c r="P37" s="300"/>
      <c r="Q37" s="300"/>
    </row>
    <row r="38" spans="1:17" ht="13" x14ac:dyDescent="0.3">
      <c r="A38" s="652">
        <v>34020126</v>
      </c>
      <c r="B38" s="652" t="s">
        <v>748</v>
      </c>
      <c r="C38" s="299"/>
      <c r="E38" s="267" t="s">
        <v>728</v>
      </c>
    </row>
    <row r="39" spans="1:17" ht="13" x14ac:dyDescent="0.3">
      <c r="A39" s="659">
        <v>27120199</v>
      </c>
      <c r="B39" s="279" t="s">
        <v>749</v>
      </c>
      <c r="C39" s="299"/>
    </row>
    <row r="40" spans="1:17" s="281" customFormat="1" ht="13" x14ac:dyDescent="0.3">
      <c r="A40" s="660"/>
      <c r="C40" s="303"/>
    </row>
    <row r="41" spans="1:17" s="295" customFormat="1" ht="13" x14ac:dyDescent="0.3">
      <c r="A41" s="656">
        <v>37423035</v>
      </c>
      <c r="B41" s="656" t="s">
        <v>574</v>
      </c>
      <c r="C41" s="301"/>
      <c r="D41" s="300"/>
      <c r="E41" s="300"/>
      <c r="F41" s="300"/>
      <c r="G41" s="300"/>
      <c r="H41" s="300"/>
      <c r="I41" s="300"/>
      <c r="J41" s="300"/>
      <c r="K41" s="300"/>
      <c r="L41" s="300"/>
      <c r="M41" s="300"/>
      <c r="N41" s="300"/>
      <c r="O41" s="300"/>
      <c r="P41" s="300"/>
      <c r="Q41" s="300"/>
    </row>
    <row r="42" spans="1:17" ht="13" x14ac:dyDescent="0.3">
      <c r="A42" s="657">
        <v>87110174</v>
      </c>
      <c r="B42" s="657" t="s">
        <v>672</v>
      </c>
      <c r="C42" s="299"/>
    </row>
    <row r="43" spans="1:17" x14ac:dyDescent="0.25">
      <c r="A43" s="657">
        <v>87120174</v>
      </c>
      <c r="B43" s="657" t="s">
        <v>674</v>
      </c>
      <c r="C43" s="304"/>
    </row>
    <row r="44" spans="1:17" x14ac:dyDescent="0.25">
      <c r="A44" s="657">
        <v>87140174</v>
      </c>
      <c r="B44" s="657" t="s">
        <v>676</v>
      </c>
    </row>
    <row r="45" spans="1:17" x14ac:dyDescent="0.25">
      <c r="A45" s="266">
        <v>84050574</v>
      </c>
      <c r="B45" s="656" t="s">
        <v>666</v>
      </c>
      <c r="C45" s="297"/>
    </row>
    <row r="46" spans="1:17" x14ac:dyDescent="0.25">
      <c r="A46" s="264">
        <v>87421774</v>
      </c>
      <c r="B46" s="264" t="s">
        <v>750</v>
      </c>
      <c r="C46" s="297"/>
    </row>
    <row r="47" spans="1:17" x14ac:dyDescent="0.25">
      <c r="A47" s="656">
        <v>47120101</v>
      </c>
      <c r="B47" s="656" t="s">
        <v>612</v>
      </c>
    </row>
  </sheetData>
  <phoneticPr fontId="93" type="noConversion"/>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7">
    <tabColor rgb="FFFFFF00"/>
  </sheetPr>
  <dimension ref="A1:S141"/>
  <sheetViews>
    <sheetView view="pageBreakPreview" topLeftCell="A73" zoomScale="70" zoomScaleNormal="100" zoomScaleSheetLayoutView="70" workbookViewId="0">
      <selection activeCell="J69" sqref="J69"/>
    </sheetView>
  </sheetViews>
  <sheetFormatPr defaultColWidth="9.296875" defaultRowHeight="13" x14ac:dyDescent="0.3"/>
  <cols>
    <col min="1" max="1" width="1.796875" style="172" customWidth="1"/>
    <col min="2" max="2" width="19.5" style="172" customWidth="1"/>
    <col min="3" max="3" width="17.5" style="172" customWidth="1"/>
    <col min="4" max="6" width="9.796875" style="172" customWidth="1"/>
    <col min="7" max="7" width="16.5" style="261" customWidth="1"/>
    <col min="8" max="8" width="15.19921875" style="172" bestFit="1" customWidth="1"/>
    <col min="9" max="9" width="15.19921875" style="172" hidden="1" customWidth="1"/>
    <col min="10" max="10" width="14" style="172" customWidth="1"/>
    <col min="11" max="11" width="17.69921875" style="172" customWidth="1"/>
    <col min="12" max="12" width="17.69921875" style="228" customWidth="1"/>
    <col min="13" max="13" width="50.796875" style="228" customWidth="1"/>
    <col min="14" max="17" width="14.796875" style="172" hidden="1" customWidth="1"/>
    <col min="18" max="18" width="14.796875" style="172" customWidth="1"/>
    <col min="19" max="16384" width="9.296875" style="172"/>
  </cols>
  <sheetData>
    <row r="1" spans="3:18" s="192" customFormat="1" ht="18" x14ac:dyDescent="0.4">
      <c r="C1" s="757" t="s">
        <v>103</v>
      </c>
      <c r="D1" s="758"/>
      <c r="E1" s="758"/>
      <c r="F1" s="758"/>
      <c r="G1" s="758"/>
      <c r="H1" s="758"/>
      <c r="I1" s="758"/>
      <c r="J1" s="758"/>
      <c r="K1" s="759"/>
      <c r="L1" s="229">
        <v>2.5999999999999999E-2</v>
      </c>
      <c r="M1" s="230"/>
    </row>
    <row r="2" spans="3:18" s="192" customFormat="1" ht="2.5" customHeight="1" x14ac:dyDescent="0.4">
      <c r="G2" s="259"/>
      <c r="L2" s="193">
        <v>2.7</v>
      </c>
      <c r="M2" s="193"/>
    </row>
    <row r="3" spans="3:18" s="192" customFormat="1" ht="18" x14ac:dyDescent="0.4">
      <c r="C3" s="757" t="e">
        <f>#REF!</f>
        <v>#REF!</v>
      </c>
      <c r="D3" s="757"/>
      <c r="E3" s="757"/>
      <c r="F3" s="757"/>
      <c r="G3" s="757"/>
      <c r="H3" s="757"/>
      <c r="I3" s="757"/>
      <c r="J3" s="757"/>
      <c r="K3" s="757"/>
      <c r="L3" s="560">
        <v>0.03</v>
      </c>
      <c r="M3" s="193"/>
    </row>
    <row r="4" spans="3:18" s="192" customFormat="1" ht="22.5" customHeight="1" x14ac:dyDescent="0.4">
      <c r="C4" s="762" t="s">
        <v>140</v>
      </c>
      <c r="D4" s="762"/>
      <c r="E4" s="762"/>
      <c r="F4" s="762"/>
      <c r="G4" s="762"/>
      <c r="H4" s="762"/>
      <c r="I4" s="762"/>
      <c r="J4" s="762"/>
      <c r="K4" s="762"/>
      <c r="L4" s="193"/>
      <c r="M4" s="193"/>
    </row>
    <row r="5" spans="3:18" ht="6" customHeight="1" x14ac:dyDescent="0.35">
      <c r="C5" s="231"/>
      <c r="D5" s="232"/>
      <c r="E5" s="232"/>
      <c r="F5" s="232"/>
      <c r="G5" s="260"/>
      <c r="H5" s="232"/>
      <c r="I5" s="232"/>
      <c r="J5" s="232"/>
      <c r="K5" s="232"/>
    </row>
    <row r="6" spans="3:18" ht="14" x14ac:dyDescent="0.3">
      <c r="C6" s="196"/>
      <c r="D6" s="197"/>
      <c r="E6" s="197"/>
      <c r="F6" s="241"/>
      <c r="G6" s="661" t="e">
        <f>#REF!</f>
        <v>#REF!</v>
      </c>
      <c r="H6" s="760" t="e">
        <f>#REF!</f>
        <v>#REF!</v>
      </c>
      <c r="I6" s="763"/>
      <c r="J6" s="764"/>
      <c r="K6" s="198" t="e">
        <f>#REF!</f>
        <v>#REF!</v>
      </c>
      <c r="M6" s="212" t="s">
        <v>751</v>
      </c>
      <c r="O6" s="211" t="e">
        <f>G6</f>
        <v>#REF!</v>
      </c>
      <c r="P6" s="760" t="e">
        <f>H6</f>
        <v>#REF!</v>
      </c>
      <c r="Q6" s="761"/>
      <c r="R6" s="211" t="e">
        <f>K6</f>
        <v>#REF!</v>
      </c>
    </row>
    <row r="7" spans="3:18" ht="14" x14ac:dyDescent="0.3">
      <c r="C7" s="199" t="s">
        <v>752</v>
      </c>
      <c r="D7" s="200"/>
      <c r="E7" s="200"/>
      <c r="F7" s="240"/>
      <c r="G7" s="662" t="s">
        <v>78</v>
      </c>
      <c r="H7" s="323" t="s">
        <v>79</v>
      </c>
      <c r="I7" s="321" t="e">
        <f>#REF!</f>
        <v>#REF!</v>
      </c>
      <c r="J7" s="201" t="s">
        <v>753</v>
      </c>
      <c r="K7" s="201" t="s">
        <v>81</v>
      </c>
      <c r="O7" s="213" t="s">
        <v>78</v>
      </c>
      <c r="P7" s="213" t="s">
        <v>79</v>
      </c>
      <c r="Q7" s="213" t="s">
        <v>80</v>
      </c>
      <c r="R7" s="213" t="s">
        <v>81</v>
      </c>
    </row>
    <row r="8" spans="3:18" ht="14" x14ac:dyDescent="0.3">
      <c r="C8" s="202" t="s">
        <v>152</v>
      </c>
      <c r="D8" s="194"/>
      <c r="E8" s="194"/>
      <c r="F8" s="194"/>
      <c r="G8" s="257"/>
      <c r="H8" s="205"/>
      <c r="I8" s="322"/>
      <c r="J8" s="216"/>
      <c r="K8" s="214"/>
    </row>
    <row r="9" spans="3:18" ht="14" x14ac:dyDescent="0.3">
      <c r="C9" s="202"/>
      <c r="D9" s="194"/>
      <c r="E9" s="194"/>
      <c r="F9" s="194"/>
      <c r="G9" s="257"/>
      <c r="H9" s="205"/>
      <c r="I9" s="322"/>
      <c r="J9" s="217"/>
      <c r="K9" s="205"/>
    </row>
    <row r="10" spans="3:18" ht="14" hidden="1" x14ac:dyDescent="0.3">
      <c r="C10" s="203" t="s">
        <v>754</v>
      </c>
      <c r="D10" s="194"/>
      <c r="E10" s="194"/>
      <c r="F10" s="194"/>
      <c r="G10" s="257"/>
      <c r="H10" s="205"/>
      <c r="I10" s="322"/>
      <c r="J10" s="217"/>
      <c r="K10" s="205"/>
    </row>
    <row r="11" spans="3:18" ht="14" hidden="1" x14ac:dyDescent="0.3">
      <c r="C11" s="203"/>
      <c r="D11" s="194"/>
      <c r="E11" s="194"/>
      <c r="F11" s="194"/>
      <c r="G11" s="257"/>
      <c r="H11" s="205"/>
      <c r="I11" s="322"/>
      <c r="J11" s="217"/>
      <c r="K11" s="205"/>
    </row>
    <row r="12" spans="3:18" ht="14" hidden="1" x14ac:dyDescent="0.3">
      <c r="C12" s="203" t="s">
        <v>755</v>
      </c>
      <c r="D12" s="194"/>
      <c r="E12" s="194"/>
      <c r="F12" s="194"/>
      <c r="G12" s="257"/>
      <c r="H12" s="205"/>
      <c r="I12" s="322"/>
      <c r="J12" s="217"/>
      <c r="K12" s="205"/>
    </row>
    <row r="13" spans="3:18" ht="14" hidden="1" x14ac:dyDescent="0.3">
      <c r="C13" s="203"/>
      <c r="D13" s="194"/>
      <c r="E13" s="194"/>
      <c r="F13" s="194"/>
      <c r="G13" s="257"/>
      <c r="H13" s="205"/>
      <c r="I13" s="322"/>
      <c r="J13" s="217"/>
      <c r="K13" s="205"/>
    </row>
    <row r="14" spans="3:18" ht="14" hidden="1" x14ac:dyDescent="0.3">
      <c r="C14" s="203" t="s">
        <v>756</v>
      </c>
      <c r="D14" s="194"/>
      <c r="E14" s="194"/>
      <c r="F14" s="194"/>
      <c r="G14" s="257"/>
      <c r="H14" s="205"/>
      <c r="I14" s="322"/>
      <c r="J14" s="217"/>
      <c r="K14" s="205"/>
    </row>
    <row r="15" spans="3:18" ht="14" hidden="1" x14ac:dyDescent="0.3">
      <c r="C15" s="203"/>
      <c r="D15" s="194"/>
      <c r="E15" s="194"/>
      <c r="F15" s="194"/>
      <c r="G15" s="257"/>
      <c r="H15" s="205"/>
      <c r="I15" s="322"/>
      <c r="J15" s="217"/>
      <c r="K15" s="205"/>
    </row>
    <row r="16" spans="3:18" ht="14" x14ac:dyDescent="0.3">
      <c r="C16" s="203" t="s">
        <v>757</v>
      </c>
      <c r="D16" s="194"/>
      <c r="E16" s="194"/>
      <c r="F16" s="194"/>
      <c r="G16" s="257"/>
      <c r="H16" s="205"/>
      <c r="I16" s="322"/>
      <c r="J16" s="217"/>
      <c r="K16" s="205"/>
    </row>
    <row r="17" spans="1:13" ht="14" x14ac:dyDescent="0.3">
      <c r="B17" s="172" t="s">
        <v>205</v>
      </c>
      <c r="C17" s="204"/>
      <c r="D17" s="194"/>
      <c r="E17" s="194"/>
      <c r="F17" s="194"/>
      <c r="G17" s="205"/>
      <c r="H17" s="205"/>
      <c r="I17" s="322"/>
      <c r="J17" s="217"/>
      <c r="K17" s="15"/>
      <c r="L17" s="195"/>
      <c r="M17" s="253"/>
    </row>
    <row r="18" spans="1:13" ht="30" customHeight="1" x14ac:dyDescent="0.3">
      <c r="B18" s="172" t="s">
        <v>205</v>
      </c>
      <c r="C18" s="754"/>
      <c r="D18" s="755"/>
      <c r="E18" s="755"/>
      <c r="F18" s="756"/>
      <c r="G18" s="663"/>
      <c r="H18" s="663"/>
      <c r="I18" s="324"/>
      <c r="J18" s="561"/>
      <c r="K18" s="562"/>
      <c r="L18" s="195"/>
      <c r="M18" s="253"/>
    </row>
    <row r="19" spans="1:13" ht="14" hidden="1" x14ac:dyDescent="0.3">
      <c r="C19" s="533"/>
      <c r="D19" s="534"/>
      <c r="E19" s="534"/>
      <c r="F19" s="534"/>
      <c r="G19" s="536"/>
      <c r="H19" s="537"/>
      <c r="I19" s="548"/>
      <c r="J19" s="557"/>
      <c r="K19" s="555"/>
      <c r="L19" s="195"/>
      <c r="M19" s="210"/>
    </row>
    <row r="20" spans="1:13" ht="14" x14ac:dyDescent="0.3">
      <c r="B20" s="172" t="s">
        <v>205</v>
      </c>
      <c r="C20" s="204"/>
      <c r="D20" s="194"/>
      <c r="E20" s="194"/>
      <c r="F20" s="194"/>
      <c r="G20" s="205"/>
      <c r="H20" s="205"/>
      <c r="I20" s="322"/>
      <c r="J20" s="558"/>
      <c r="K20" s="15"/>
      <c r="L20" s="195"/>
      <c r="M20" s="195"/>
    </row>
    <row r="21" spans="1:13" ht="14" hidden="1" x14ac:dyDescent="0.3">
      <c r="C21" s="204"/>
      <c r="D21" s="194"/>
      <c r="E21" s="194"/>
      <c r="F21" s="194"/>
      <c r="G21" s="205"/>
      <c r="H21" s="257"/>
      <c r="I21" s="322"/>
      <c r="J21" s="556"/>
      <c r="K21" s="522"/>
      <c r="L21" s="195"/>
    </row>
    <row r="22" spans="1:13" ht="14" x14ac:dyDescent="0.3">
      <c r="A22" s="194"/>
      <c r="B22" s="194" t="s">
        <v>205</v>
      </c>
      <c r="C22" s="204"/>
      <c r="D22" s="194"/>
      <c r="E22" s="194"/>
      <c r="F22" s="194"/>
      <c r="G22" s="205"/>
      <c r="H22" s="205"/>
      <c r="I22" s="322"/>
      <c r="J22" s="558"/>
      <c r="K22" s="15"/>
      <c r="L22" s="195"/>
      <c r="M22" s="253"/>
    </row>
    <row r="23" spans="1:13" ht="14" x14ac:dyDescent="0.3">
      <c r="B23" s="172" t="s">
        <v>758</v>
      </c>
      <c r="C23" s="204"/>
      <c r="D23" s="194"/>
      <c r="E23" s="194"/>
      <c r="F23" s="194"/>
      <c r="G23" s="205"/>
      <c r="H23" s="205"/>
      <c r="I23" s="322"/>
      <c r="J23" s="556"/>
      <c r="K23" s="15"/>
      <c r="L23" s="195">
        <f>L1</f>
        <v>2.5999999999999999E-2</v>
      </c>
      <c r="M23" s="253" t="s">
        <v>759</v>
      </c>
    </row>
    <row r="24" spans="1:13" ht="14" hidden="1" x14ac:dyDescent="0.3">
      <c r="C24" s="533" t="s">
        <v>760</v>
      </c>
      <c r="D24" s="534"/>
      <c r="E24" s="534"/>
      <c r="F24" s="549"/>
      <c r="G24" s="536"/>
      <c r="H24" s="537"/>
      <c r="I24" s="548"/>
      <c r="J24" s="557"/>
      <c r="K24" s="555"/>
      <c r="L24" s="195"/>
      <c r="M24" s="210" t="s">
        <v>761</v>
      </c>
    </row>
    <row r="25" spans="1:13" ht="14" hidden="1" x14ac:dyDescent="0.3">
      <c r="A25" s="194"/>
      <c r="B25" s="194"/>
      <c r="C25" s="533" t="s">
        <v>762</v>
      </c>
      <c r="D25" s="534"/>
      <c r="E25" s="534"/>
      <c r="F25" s="534"/>
      <c r="G25" s="536">
        <v>0</v>
      </c>
      <c r="H25" s="537"/>
      <c r="I25" s="548"/>
      <c r="J25" s="557">
        <f>H25</f>
        <v>0</v>
      </c>
      <c r="K25" s="557"/>
      <c r="L25" s="195"/>
      <c r="M25" s="210" t="s">
        <v>763</v>
      </c>
    </row>
    <row r="26" spans="1:13" s="248" customFormat="1" ht="14" hidden="1" x14ac:dyDescent="0.3">
      <c r="A26" s="245"/>
      <c r="B26" s="245"/>
      <c r="C26" s="533" t="s">
        <v>764</v>
      </c>
      <c r="D26" s="534"/>
      <c r="E26" s="534"/>
      <c r="F26" s="534"/>
      <c r="G26" s="536"/>
      <c r="H26" s="537"/>
      <c r="I26" s="548"/>
      <c r="J26" s="557"/>
      <c r="K26" s="557"/>
      <c r="L26" s="246"/>
      <c r="M26" s="254" t="s">
        <v>765</v>
      </c>
    </row>
    <row r="27" spans="1:13" ht="14" hidden="1" x14ac:dyDescent="0.3">
      <c r="C27" s="533" t="s">
        <v>766</v>
      </c>
      <c r="D27" s="534"/>
      <c r="E27" s="534"/>
      <c r="F27" s="534"/>
      <c r="G27" s="536"/>
      <c r="H27" s="537"/>
      <c r="I27" s="548"/>
      <c r="J27" s="557"/>
      <c r="K27" s="555"/>
      <c r="L27" s="195"/>
      <c r="M27" s="233" t="s">
        <v>767</v>
      </c>
    </row>
    <row r="28" spans="1:13" ht="14" x14ac:dyDescent="0.3">
      <c r="C28" s="203"/>
      <c r="D28" s="194"/>
      <c r="E28" s="194"/>
      <c r="F28" s="194"/>
      <c r="G28" s="205"/>
      <c r="H28" s="257"/>
      <c r="I28" s="322"/>
      <c r="J28" s="556"/>
      <c r="K28" s="522"/>
      <c r="L28" s="195"/>
    </row>
    <row r="29" spans="1:13" ht="14" x14ac:dyDescent="0.3">
      <c r="C29" s="203" t="s">
        <v>768</v>
      </c>
      <c r="D29" s="194"/>
      <c r="E29" s="194"/>
      <c r="F29" s="194"/>
      <c r="G29" s="205"/>
      <c r="H29" s="257"/>
      <c r="I29" s="322"/>
      <c r="J29" s="556"/>
      <c r="K29" s="522"/>
      <c r="L29" s="195"/>
    </row>
    <row r="30" spans="1:13" ht="14.25" customHeight="1" x14ac:dyDescent="0.3">
      <c r="B30" s="172" t="s">
        <v>758</v>
      </c>
      <c r="C30" s="224"/>
      <c r="D30" s="194"/>
      <c r="E30" s="194"/>
      <c r="F30" s="194"/>
      <c r="G30" s="205"/>
      <c r="H30" s="217"/>
      <c r="I30" s="318"/>
      <c r="J30" s="15"/>
      <c r="K30" s="558"/>
      <c r="L30" s="195"/>
      <c r="M30" s="218"/>
    </row>
    <row r="31" spans="1:13" ht="14" x14ac:dyDescent="0.3">
      <c r="C31" s="203"/>
      <c r="D31" s="194"/>
      <c r="E31" s="194"/>
      <c r="F31" s="194"/>
      <c r="G31" s="205"/>
      <c r="H31" s="257"/>
      <c r="I31" s="322"/>
      <c r="J31" s="556"/>
      <c r="K31" s="522"/>
      <c r="L31" s="195"/>
    </row>
    <row r="32" spans="1:13" ht="14" x14ac:dyDescent="0.3">
      <c r="C32" s="203" t="s">
        <v>769</v>
      </c>
      <c r="D32" s="194"/>
      <c r="E32" s="194"/>
      <c r="F32" s="194"/>
      <c r="G32" s="205"/>
      <c r="H32" s="257"/>
      <c r="I32" s="322"/>
      <c r="J32" s="556"/>
      <c r="K32" s="522"/>
      <c r="L32" s="195"/>
    </row>
    <row r="33" spans="1:13" ht="14" x14ac:dyDescent="0.3">
      <c r="B33" s="172" t="s">
        <v>205</v>
      </c>
      <c r="C33" s="204"/>
      <c r="D33" s="194"/>
      <c r="E33" s="194"/>
      <c r="F33" s="194"/>
      <c r="G33" s="205"/>
      <c r="H33" s="205"/>
      <c r="I33" s="322"/>
      <c r="J33" s="558"/>
      <c r="K33" s="15"/>
      <c r="L33" s="195">
        <f>L1</f>
        <v>2.5999999999999999E-2</v>
      </c>
      <c r="M33" s="210" t="s">
        <v>770</v>
      </c>
    </row>
    <row r="34" spans="1:13" ht="14" x14ac:dyDescent="0.3">
      <c r="A34" s="194"/>
      <c r="B34" s="194" t="s">
        <v>758</v>
      </c>
      <c r="C34" s="204"/>
      <c r="D34" s="194"/>
      <c r="E34" s="194"/>
      <c r="F34" s="194"/>
      <c r="G34" s="205"/>
      <c r="H34" s="205"/>
      <c r="I34" s="322"/>
      <c r="J34" s="558"/>
      <c r="K34" s="15"/>
      <c r="L34" s="195">
        <v>0</v>
      </c>
      <c r="M34" s="210" t="s">
        <v>771</v>
      </c>
    </row>
    <row r="35" spans="1:13" ht="14" hidden="1" x14ac:dyDescent="0.3">
      <c r="A35" s="194"/>
      <c r="B35" s="194" t="s">
        <v>758</v>
      </c>
      <c r="C35" s="204" t="s">
        <v>772</v>
      </c>
      <c r="D35" s="194"/>
      <c r="E35" s="194"/>
      <c r="F35" s="194"/>
      <c r="G35" s="205">
        <v>0</v>
      </c>
      <c r="H35" s="257"/>
      <c r="I35" s="322"/>
      <c r="J35" s="556"/>
      <c r="K35" s="522"/>
      <c r="L35" s="195"/>
      <c r="M35" s="210" t="s">
        <v>773</v>
      </c>
    </row>
    <row r="36" spans="1:13" s="552" customFormat="1" ht="14" hidden="1" x14ac:dyDescent="0.3">
      <c r="A36" s="534"/>
      <c r="B36" s="534"/>
      <c r="C36" s="533" t="s">
        <v>774</v>
      </c>
      <c r="D36" s="534"/>
      <c r="E36" s="534"/>
      <c r="F36" s="534"/>
      <c r="G36" s="536"/>
      <c r="H36" s="536">
        <v>309.06760937499996</v>
      </c>
      <c r="I36" s="548"/>
      <c r="J36" s="557">
        <f>H36</f>
        <v>309.06760937499996</v>
      </c>
      <c r="K36" s="555"/>
      <c r="L36" s="550">
        <f>$L$1</f>
        <v>2.5999999999999999E-2</v>
      </c>
      <c r="M36" s="551"/>
    </row>
    <row r="37" spans="1:13" s="552" customFormat="1" ht="14" hidden="1" x14ac:dyDescent="0.3">
      <c r="A37" s="534"/>
      <c r="B37" s="534"/>
      <c r="C37" s="533" t="s">
        <v>775</v>
      </c>
      <c r="D37" s="534"/>
      <c r="E37" s="534"/>
      <c r="F37" s="534"/>
      <c r="G37" s="536"/>
      <c r="H37" s="536">
        <v>-309.06760937500002</v>
      </c>
      <c r="I37" s="548"/>
      <c r="J37" s="557">
        <f>H37</f>
        <v>-309.06760937500002</v>
      </c>
      <c r="K37" s="555"/>
      <c r="L37" s="550">
        <f>$L$1</f>
        <v>2.5999999999999999E-2</v>
      </c>
      <c r="M37" s="551"/>
    </row>
    <row r="38" spans="1:13" ht="14" x14ac:dyDescent="0.3">
      <c r="A38" s="194"/>
      <c r="B38" s="194" t="s">
        <v>758</v>
      </c>
      <c r="C38" s="204"/>
      <c r="D38" s="194"/>
      <c r="E38" s="194"/>
      <c r="F38" s="194"/>
      <c r="G38" s="205"/>
      <c r="H38" s="257"/>
      <c r="I38" s="322"/>
      <c r="J38" s="556"/>
      <c r="K38" s="522"/>
      <c r="L38" s="195">
        <f>L1</f>
        <v>2.5999999999999999E-2</v>
      </c>
      <c r="M38" s="210" t="s">
        <v>776</v>
      </c>
    </row>
    <row r="39" spans="1:13" ht="14" x14ac:dyDescent="0.3">
      <c r="C39" s="203"/>
      <c r="D39" s="194"/>
      <c r="E39" s="194"/>
      <c r="F39" s="194"/>
      <c r="G39" s="205"/>
      <c r="H39" s="257"/>
      <c r="I39" s="322"/>
      <c r="J39" s="556"/>
      <c r="K39" s="522"/>
      <c r="L39" s="195"/>
      <c r="M39" s="247" t="s">
        <v>777</v>
      </c>
    </row>
    <row r="40" spans="1:13" ht="14" hidden="1" x14ac:dyDescent="0.3">
      <c r="C40" s="553" t="s">
        <v>778</v>
      </c>
      <c r="D40" s="534"/>
      <c r="E40" s="534"/>
      <c r="F40" s="534"/>
      <c r="G40" s="536"/>
      <c r="H40" s="537"/>
      <c r="I40" s="548"/>
      <c r="J40" s="557"/>
      <c r="K40" s="555"/>
      <c r="L40" s="195"/>
    </row>
    <row r="41" spans="1:13" ht="14" hidden="1" x14ac:dyDescent="0.3">
      <c r="C41" s="533" t="s">
        <v>779</v>
      </c>
      <c r="D41" s="534"/>
      <c r="E41" s="534"/>
      <c r="F41" s="534"/>
      <c r="G41" s="536"/>
      <c r="H41" s="554"/>
      <c r="I41" s="548"/>
      <c r="J41" s="557"/>
      <c r="K41" s="557"/>
      <c r="L41" s="195" t="e">
        <f>K41/J41-1</f>
        <v>#DIV/0!</v>
      </c>
      <c r="M41" s="233" t="s">
        <v>780</v>
      </c>
    </row>
    <row r="42" spans="1:13" ht="14" hidden="1" x14ac:dyDescent="0.3">
      <c r="C42" s="553"/>
      <c r="D42" s="534"/>
      <c r="E42" s="534"/>
      <c r="F42" s="534"/>
      <c r="G42" s="536"/>
      <c r="H42" s="537"/>
      <c r="I42" s="548"/>
      <c r="J42" s="557"/>
      <c r="K42" s="555"/>
      <c r="L42" s="195"/>
    </row>
    <row r="43" spans="1:13" ht="14" hidden="1" x14ac:dyDescent="0.3">
      <c r="C43" s="553" t="s">
        <v>781</v>
      </c>
      <c r="D43" s="534"/>
      <c r="E43" s="534"/>
      <c r="F43" s="534"/>
      <c r="G43" s="536"/>
      <c r="H43" s="537"/>
      <c r="I43" s="548"/>
      <c r="J43" s="557"/>
      <c r="K43" s="555"/>
      <c r="L43" s="195"/>
    </row>
    <row r="44" spans="1:13" ht="14" hidden="1" x14ac:dyDescent="0.3">
      <c r="A44" s="194"/>
      <c r="B44" s="194"/>
      <c r="C44" s="533" t="s">
        <v>781</v>
      </c>
      <c r="D44" s="534"/>
      <c r="E44" s="534"/>
      <c r="F44" s="534"/>
      <c r="G44" s="536"/>
      <c r="H44" s="537"/>
      <c r="I44" s="548"/>
      <c r="J44" s="557"/>
      <c r="K44" s="555"/>
      <c r="L44" s="195"/>
      <c r="M44" s="195"/>
    </row>
    <row r="45" spans="1:13" ht="14" hidden="1" x14ac:dyDescent="0.3">
      <c r="C45" s="553"/>
      <c r="D45" s="534"/>
      <c r="E45" s="534"/>
      <c r="F45" s="534"/>
      <c r="G45" s="536"/>
      <c r="H45" s="537"/>
      <c r="I45" s="548"/>
      <c r="J45" s="557"/>
      <c r="K45" s="555"/>
      <c r="L45" s="195"/>
    </row>
    <row r="46" spans="1:13" ht="14" hidden="1" x14ac:dyDescent="0.3">
      <c r="C46" s="553" t="s">
        <v>782</v>
      </c>
      <c r="D46" s="534"/>
      <c r="E46" s="534"/>
      <c r="F46" s="534"/>
      <c r="G46" s="536"/>
      <c r="H46" s="537"/>
      <c r="I46" s="548"/>
      <c r="J46" s="557"/>
      <c r="K46" s="555"/>
      <c r="L46" s="195"/>
    </row>
    <row r="47" spans="1:13" ht="14" hidden="1" x14ac:dyDescent="0.3">
      <c r="C47" s="533" t="s">
        <v>783</v>
      </c>
      <c r="D47" s="534"/>
      <c r="E47" s="534"/>
      <c r="F47" s="534"/>
      <c r="G47" s="555"/>
      <c r="H47" s="536">
        <v>0</v>
      </c>
      <c r="I47" s="535"/>
      <c r="J47" s="555"/>
      <c r="K47" s="555"/>
      <c r="L47" s="195" t="e">
        <f>K47/J47-1</f>
        <v>#DIV/0!</v>
      </c>
      <c r="M47" s="210" t="s">
        <v>74</v>
      </c>
    </row>
    <row r="48" spans="1:13" ht="14" hidden="1" x14ac:dyDescent="0.3">
      <c r="C48" s="533" t="s">
        <v>784</v>
      </c>
      <c r="D48" s="534"/>
      <c r="E48" s="534"/>
      <c r="F48" s="534"/>
      <c r="G48" s="555"/>
      <c r="H48" s="536">
        <v>0</v>
      </c>
      <c r="I48" s="535"/>
      <c r="J48" s="555"/>
      <c r="K48" s="555"/>
      <c r="L48" s="195" t="e">
        <f>K48/J48-1</f>
        <v>#DIV/0!</v>
      </c>
      <c r="M48" s="210" t="s">
        <v>74</v>
      </c>
    </row>
    <row r="49" spans="2:19" ht="14" hidden="1" x14ac:dyDescent="0.3">
      <c r="C49" s="553"/>
      <c r="D49" s="534"/>
      <c r="E49" s="534"/>
      <c r="F49" s="534"/>
      <c r="G49" s="536"/>
      <c r="H49" s="537"/>
      <c r="I49" s="548"/>
      <c r="J49" s="557"/>
      <c r="K49" s="555"/>
      <c r="L49" s="195"/>
    </row>
    <row r="50" spans="2:19" ht="14" x14ac:dyDescent="0.3">
      <c r="C50" s="203" t="s">
        <v>56</v>
      </c>
      <c r="D50" s="194"/>
      <c r="E50" s="194"/>
      <c r="F50" s="194"/>
      <c r="G50" s="205"/>
      <c r="H50" s="205"/>
      <c r="I50" s="322"/>
      <c r="J50" s="556"/>
      <c r="K50" s="522"/>
      <c r="L50" s="195"/>
    </row>
    <row r="51" spans="2:19" ht="15" customHeight="1" x14ac:dyDescent="0.3">
      <c r="B51" s="172" t="s">
        <v>205</v>
      </c>
      <c r="C51" s="204"/>
      <c r="D51" s="194"/>
      <c r="E51" s="194"/>
      <c r="F51" s="194"/>
      <c r="G51" s="205"/>
      <c r="H51" s="205"/>
      <c r="I51" s="322"/>
      <c r="J51" s="558"/>
      <c r="K51" s="15"/>
      <c r="L51" s="195"/>
      <c r="M51" s="210" t="s">
        <v>785</v>
      </c>
    </row>
    <row r="52" spans="2:19" ht="14" hidden="1" x14ac:dyDescent="0.3">
      <c r="C52" s="204"/>
      <c r="D52" s="194"/>
      <c r="E52" s="194"/>
      <c r="F52" s="194"/>
      <c r="G52" s="522"/>
      <c r="H52" s="205"/>
      <c r="I52" s="322"/>
      <c r="J52" s="556"/>
      <c r="K52" s="522"/>
      <c r="L52" s="195"/>
      <c r="M52" s="210" t="s">
        <v>786</v>
      </c>
    </row>
    <row r="53" spans="2:19" ht="14" hidden="1" x14ac:dyDescent="0.3">
      <c r="C53" s="204"/>
      <c r="D53" s="194"/>
      <c r="E53" s="194"/>
      <c r="F53" s="194"/>
      <c r="G53" s="522"/>
      <c r="H53" s="205"/>
      <c r="I53" s="322"/>
      <c r="J53" s="556"/>
      <c r="K53" s="522"/>
      <c r="L53" s="195"/>
      <c r="M53" s="210"/>
    </row>
    <row r="54" spans="2:19" ht="14" hidden="1" x14ac:dyDescent="0.3">
      <c r="C54" s="204"/>
      <c r="D54" s="194"/>
      <c r="E54" s="194"/>
      <c r="F54" s="194"/>
      <c r="G54" s="205"/>
      <c r="H54" s="205"/>
      <c r="I54" s="322"/>
      <c r="J54" s="217"/>
      <c r="K54" s="205"/>
      <c r="L54" s="195"/>
      <c r="M54" s="210"/>
    </row>
    <row r="55" spans="2:19" ht="14" x14ac:dyDescent="0.3">
      <c r="B55" s="172" t="s">
        <v>205</v>
      </c>
      <c r="C55" s="204"/>
      <c r="D55" s="194"/>
      <c r="E55" s="194"/>
      <c r="F55" s="194"/>
      <c r="G55" s="15"/>
      <c r="H55" s="205"/>
      <c r="I55" s="318"/>
      <c r="J55" s="205"/>
      <c r="K55" s="205"/>
      <c r="L55" s="195"/>
    </row>
    <row r="56" spans="2:19" ht="14" x14ac:dyDescent="0.3">
      <c r="B56" s="172" t="s">
        <v>205</v>
      </c>
      <c r="C56" s="204"/>
      <c r="D56" s="194"/>
      <c r="E56" s="194"/>
      <c r="F56" s="194"/>
      <c r="G56" s="15"/>
      <c r="H56" s="205"/>
      <c r="I56" s="318"/>
      <c r="J56" s="205"/>
      <c r="K56" s="205"/>
      <c r="L56" s="195"/>
    </row>
    <row r="57" spans="2:19" ht="14" x14ac:dyDescent="0.3">
      <c r="C57" s="202"/>
      <c r="D57" s="194"/>
      <c r="E57" s="194"/>
      <c r="F57" s="194"/>
      <c r="G57" s="205"/>
      <c r="H57" s="205"/>
      <c r="I57" s="322"/>
      <c r="J57" s="217"/>
      <c r="K57" s="205"/>
      <c r="L57" s="195"/>
    </row>
    <row r="58" spans="2:19" ht="14" x14ac:dyDescent="0.3">
      <c r="C58" s="196" t="s">
        <v>787</v>
      </c>
      <c r="D58" s="207"/>
      <c r="E58" s="207"/>
      <c r="F58" s="197"/>
      <c r="G58" s="225">
        <f>SUM(G10:G56)</f>
        <v>0</v>
      </c>
      <c r="H58" s="225">
        <f>SUM(H10:H56)</f>
        <v>-5.6843418860808015E-14</v>
      </c>
      <c r="I58" s="320">
        <f>SUM(I10:I53)</f>
        <v>0</v>
      </c>
      <c r="J58" s="225">
        <f>SUM(J10:J53)</f>
        <v>0</v>
      </c>
      <c r="K58" s="225">
        <f>SUM(K10:K53)</f>
        <v>0</v>
      </c>
      <c r="L58" s="195" t="e">
        <f>K58/J58-1</f>
        <v>#DIV/0!</v>
      </c>
    </row>
    <row r="59" spans="2:19" ht="14" x14ac:dyDescent="0.3">
      <c r="C59" s="208"/>
      <c r="D59" s="209"/>
      <c r="E59" s="209"/>
      <c r="F59" s="209"/>
      <c r="G59" s="221"/>
      <c r="H59" s="221"/>
      <c r="I59" s="325"/>
      <c r="J59" s="223"/>
      <c r="K59" s="221"/>
      <c r="L59" s="195"/>
    </row>
    <row r="60" spans="2:19" ht="14" x14ac:dyDescent="0.3">
      <c r="C60" s="202" t="s">
        <v>57</v>
      </c>
      <c r="D60" s="194"/>
      <c r="E60" s="194"/>
      <c r="F60" s="194"/>
      <c r="G60" s="205"/>
      <c r="H60" s="205"/>
      <c r="I60" s="318"/>
      <c r="J60" s="205"/>
      <c r="K60" s="205"/>
      <c r="L60" s="195"/>
    </row>
    <row r="61" spans="2:19" ht="14" x14ac:dyDescent="0.3">
      <c r="C61" s="202"/>
      <c r="D61" s="194"/>
      <c r="E61" s="194"/>
      <c r="F61" s="194"/>
      <c r="G61" s="205"/>
      <c r="H61" s="205"/>
      <c r="I61" s="318"/>
      <c r="J61" s="205"/>
      <c r="K61" s="205"/>
      <c r="L61" s="195"/>
    </row>
    <row r="62" spans="2:19" ht="14" x14ac:dyDescent="0.3">
      <c r="C62" s="203" t="s">
        <v>788</v>
      </c>
      <c r="D62" s="194"/>
      <c r="E62" s="194"/>
      <c r="F62" s="194"/>
      <c r="G62" s="205"/>
      <c r="H62" s="205"/>
      <c r="I62" s="318"/>
      <c r="J62" s="205"/>
      <c r="K62" s="205"/>
      <c r="L62" s="195"/>
      <c r="R62" s="172" t="s">
        <v>789</v>
      </c>
      <c r="S62" s="172">
        <v>1.0249999999999999</v>
      </c>
    </row>
    <row r="63" spans="2:19" ht="14" x14ac:dyDescent="0.3">
      <c r="B63" s="172" t="s">
        <v>758</v>
      </c>
      <c r="C63" s="204"/>
      <c r="D63" s="194"/>
      <c r="E63" s="194"/>
      <c r="F63" s="194"/>
      <c r="G63" s="205"/>
      <c r="H63" s="205"/>
      <c r="I63" s="318"/>
      <c r="J63" s="15"/>
      <c r="K63" s="15"/>
      <c r="L63" s="195">
        <v>0</v>
      </c>
    </row>
    <row r="64" spans="2:19" ht="14" x14ac:dyDescent="0.3">
      <c r="B64" s="172" t="s">
        <v>205</v>
      </c>
      <c r="C64" s="204"/>
      <c r="D64" s="194"/>
      <c r="E64" s="194"/>
      <c r="F64" s="194"/>
      <c r="G64" s="205"/>
      <c r="H64" s="205"/>
      <c r="I64" s="318"/>
      <c r="J64" s="15"/>
      <c r="K64" s="15"/>
      <c r="L64" s="195">
        <f>L1</f>
        <v>2.5999999999999999E-2</v>
      </c>
      <c r="M64" s="210" t="s">
        <v>790</v>
      </c>
      <c r="N64" s="220" t="s">
        <v>791</v>
      </c>
      <c r="O64" s="219">
        <v>-6939.27</v>
      </c>
      <c r="P64" s="219"/>
      <c r="Q64" s="219"/>
      <c r="R64" s="219"/>
    </row>
    <row r="65" spans="2:19" ht="14" x14ac:dyDescent="0.3">
      <c r="C65" s="664"/>
      <c r="D65" s="665"/>
      <c r="E65" s="665"/>
      <c r="F65" s="665"/>
      <c r="G65" s="538"/>
      <c r="H65" s="538"/>
      <c r="I65" s="539"/>
      <c r="J65" s="563"/>
      <c r="K65" s="563"/>
      <c r="L65" s="210" t="s">
        <v>792</v>
      </c>
      <c r="N65" s="234" t="s">
        <v>793</v>
      </c>
      <c r="O65" s="189">
        <v>-1000</v>
      </c>
      <c r="P65" s="189">
        <v>-1000</v>
      </c>
      <c r="Q65" s="189">
        <v>-1000</v>
      </c>
      <c r="R65" s="189">
        <f>Q65*S65</f>
        <v>-1025</v>
      </c>
      <c r="S65" s="172">
        <f>S62</f>
        <v>1.0249999999999999</v>
      </c>
    </row>
    <row r="66" spans="2:19" ht="14" x14ac:dyDescent="0.3">
      <c r="B66" s="172" t="s">
        <v>205</v>
      </c>
      <c r="C66" s="204"/>
      <c r="D66" s="194"/>
      <c r="E66" s="194"/>
      <c r="F66" s="194"/>
      <c r="G66" s="15"/>
      <c r="H66" s="205"/>
      <c r="I66" s="318"/>
      <c r="J66" s="15"/>
      <c r="K66" s="15"/>
      <c r="L66" s="195">
        <v>0</v>
      </c>
      <c r="M66" s="210" t="s">
        <v>794</v>
      </c>
      <c r="O66" s="235"/>
      <c r="P66" s="235"/>
      <c r="Q66" s="235"/>
      <c r="R66" s="235"/>
    </row>
    <row r="67" spans="2:19" ht="14" x14ac:dyDescent="0.3">
      <c r="C67" s="255"/>
      <c r="D67" s="209"/>
      <c r="E67" s="209"/>
      <c r="F67" s="209"/>
      <c r="G67" s="221"/>
      <c r="H67" s="221"/>
      <c r="I67" s="319"/>
      <c r="J67" s="221"/>
      <c r="K67" s="221"/>
      <c r="L67" s="195"/>
      <c r="O67" s="235"/>
      <c r="P67" s="235"/>
      <c r="Q67" s="235"/>
      <c r="R67" s="235"/>
    </row>
    <row r="68" spans="2:19" ht="14" x14ac:dyDescent="0.3">
      <c r="C68" s="203" t="s">
        <v>795</v>
      </c>
      <c r="D68" s="194"/>
      <c r="E68" s="194"/>
      <c r="F68" s="194"/>
      <c r="G68" s="205"/>
      <c r="H68" s="205"/>
      <c r="I68" s="318"/>
      <c r="J68" s="205"/>
      <c r="K68" s="205"/>
      <c r="L68" s="195"/>
      <c r="O68" s="235"/>
      <c r="P68" s="235"/>
      <c r="Q68" s="235"/>
      <c r="R68" s="235"/>
    </row>
    <row r="69" spans="2:19" s="251" customFormat="1" ht="30" customHeight="1" x14ac:dyDescent="0.3">
      <c r="B69" s="251" t="s">
        <v>758</v>
      </c>
      <c r="C69" s="754" t="s">
        <v>796</v>
      </c>
      <c r="D69" s="755"/>
      <c r="E69" s="755"/>
      <c r="F69" s="756"/>
      <c r="G69" s="663"/>
      <c r="H69" s="663"/>
      <c r="I69" s="492"/>
      <c r="J69" s="559"/>
      <c r="K69" s="559"/>
      <c r="L69" s="249" t="e">
        <f>(K69/J69)-1</f>
        <v>#DIV/0!</v>
      </c>
      <c r="M69" s="210" t="s">
        <v>797</v>
      </c>
      <c r="N69" s="251" t="s">
        <v>798</v>
      </c>
    </row>
    <row r="70" spans="2:19" s="251" customFormat="1" ht="14" x14ac:dyDescent="0.3">
      <c r="C70" s="533" t="s">
        <v>799</v>
      </c>
      <c r="D70" s="534"/>
      <c r="E70" s="534"/>
      <c r="F70" s="534"/>
      <c r="G70" s="536">
        <v>0</v>
      </c>
      <c r="H70" s="536"/>
      <c r="I70" s="535"/>
      <c r="J70" s="555"/>
      <c r="K70" s="555"/>
      <c r="L70" s="249">
        <v>0</v>
      </c>
      <c r="M70" s="250" t="s">
        <v>800</v>
      </c>
    </row>
    <row r="71" spans="2:19" ht="14" x14ac:dyDescent="0.3">
      <c r="B71" s="172" t="s">
        <v>205</v>
      </c>
      <c r="C71" s="204"/>
      <c r="D71" s="194"/>
      <c r="E71" s="194"/>
      <c r="F71" s="194"/>
      <c r="G71" s="205"/>
      <c r="H71" s="205"/>
      <c r="I71" s="318"/>
      <c r="J71" s="15"/>
      <c r="K71" s="15"/>
      <c r="L71" s="195">
        <v>2.5999999999999999E-2</v>
      </c>
      <c r="M71" s="210" t="s">
        <v>801</v>
      </c>
    </row>
    <row r="72" spans="2:19" ht="14" x14ac:dyDescent="0.3">
      <c r="C72" s="204"/>
      <c r="D72" s="194"/>
      <c r="E72" s="194"/>
      <c r="F72" s="194"/>
      <c r="G72" s="205"/>
      <c r="H72" s="205"/>
      <c r="I72" s="318"/>
      <c r="J72" s="205"/>
      <c r="K72" s="205"/>
      <c r="L72" s="195"/>
      <c r="M72" s="195"/>
    </row>
    <row r="73" spans="2:19" s="248" customFormat="1" ht="14" x14ac:dyDescent="0.3">
      <c r="B73" s="248" t="s">
        <v>205</v>
      </c>
      <c r="C73" s="204"/>
      <c r="D73" s="194"/>
      <c r="E73" s="194"/>
      <c r="F73" s="194"/>
      <c r="G73" s="205"/>
      <c r="H73" s="205"/>
      <c r="I73" s="318"/>
      <c r="J73" s="205"/>
      <c r="K73" s="205"/>
      <c r="L73" s="246"/>
      <c r="M73" s="252"/>
    </row>
    <row r="74" spans="2:19" ht="14" x14ac:dyDescent="0.3">
      <c r="C74" s="553"/>
      <c r="D74" s="534"/>
      <c r="E74" s="534"/>
      <c r="F74" s="534"/>
      <c r="G74" s="536"/>
      <c r="H74" s="536"/>
      <c r="I74" s="535"/>
      <c r="J74" s="536"/>
      <c r="K74" s="536"/>
      <c r="L74" s="195"/>
    </row>
    <row r="75" spans="2:19" ht="14" x14ac:dyDescent="0.3">
      <c r="C75" s="553" t="s">
        <v>355</v>
      </c>
      <c r="D75" s="534"/>
      <c r="E75" s="534"/>
      <c r="F75" s="534"/>
      <c r="G75" s="536"/>
      <c r="H75" s="536"/>
      <c r="I75" s="535"/>
      <c r="J75" s="536">
        <f>H75</f>
        <v>0</v>
      </c>
      <c r="K75" s="536"/>
      <c r="L75" s="195"/>
    </row>
    <row r="76" spans="2:19" ht="14" x14ac:dyDescent="0.3">
      <c r="C76" s="533" t="s">
        <v>802</v>
      </c>
      <c r="D76" s="534"/>
      <c r="E76" s="534"/>
      <c r="F76" s="534"/>
      <c r="G76" s="536">
        <v>0</v>
      </c>
      <c r="H76" s="536"/>
      <c r="I76" s="535"/>
      <c r="J76" s="536">
        <f>H76</f>
        <v>0</v>
      </c>
      <c r="K76" s="536"/>
      <c r="L76" s="195"/>
    </row>
    <row r="77" spans="2:19" ht="14" x14ac:dyDescent="0.3">
      <c r="C77" s="533" t="s">
        <v>803</v>
      </c>
      <c r="D77" s="534"/>
      <c r="E77" s="534"/>
      <c r="F77" s="534"/>
      <c r="G77" s="536"/>
      <c r="H77" s="536"/>
      <c r="I77" s="535"/>
      <c r="J77" s="536">
        <f>H77</f>
        <v>0</v>
      </c>
      <c r="K77" s="536"/>
      <c r="L77" s="195"/>
    </row>
    <row r="78" spans="2:19" ht="14" x14ac:dyDescent="0.3">
      <c r="C78" s="533"/>
      <c r="D78" s="534"/>
      <c r="E78" s="534"/>
      <c r="F78" s="534"/>
      <c r="G78" s="536"/>
      <c r="H78" s="536"/>
      <c r="I78" s="535"/>
      <c r="J78" s="536">
        <f>H78</f>
        <v>0</v>
      </c>
      <c r="K78" s="536"/>
      <c r="L78" s="195"/>
    </row>
    <row r="79" spans="2:19" ht="14" x14ac:dyDescent="0.3">
      <c r="C79" s="533" t="s">
        <v>804</v>
      </c>
      <c r="D79" s="534"/>
      <c r="E79" s="534"/>
      <c r="F79" s="534"/>
      <c r="G79" s="536"/>
      <c r="H79" s="536"/>
      <c r="I79" s="535"/>
      <c r="J79" s="536"/>
      <c r="K79" s="536"/>
      <c r="L79" s="195"/>
    </row>
    <row r="80" spans="2:19" ht="14" x14ac:dyDescent="0.3">
      <c r="C80" s="204"/>
      <c r="D80" s="194"/>
      <c r="E80" s="194"/>
      <c r="F80" s="194"/>
      <c r="G80" s="205"/>
      <c r="H80" s="205"/>
      <c r="I80" s="318"/>
      <c r="J80" s="205"/>
      <c r="K80" s="205"/>
      <c r="L80" s="195"/>
    </row>
    <row r="81" spans="3:13" ht="14" x14ac:dyDescent="0.3">
      <c r="C81" s="204"/>
      <c r="D81" s="194"/>
      <c r="E81" s="194"/>
      <c r="F81" s="194"/>
      <c r="G81" s="15"/>
      <c r="H81" s="205"/>
      <c r="I81" s="318"/>
      <c r="J81" s="205"/>
      <c r="K81" s="205"/>
      <c r="L81" s="195"/>
    </row>
    <row r="82" spans="3:13" ht="14" x14ac:dyDescent="0.3">
      <c r="C82" s="204"/>
      <c r="D82" s="194"/>
      <c r="E82" s="194"/>
      <c r="F82" s="194"/>
      <c r="G82" s="15"/>
      <c r="H82" s="205"/>
      <c r="I82" s="318"/>
      <c r="J82" s="205"/>
      <c r="K82" s="205"/>
      <c r="L82" s="195"/>
    </row>
    <row r="83" spans="3:13" ht="14" x14ac:dyDescent="0.3">
      <c r="C83" s="204" t="s">
        <v>805</v>
      </c>
      <c r="D83" s="194"/>
      <c r="E83" s="194"/>
      <c r="F83" s="194"/>
      <c r="G83" s="15"/>
      <c r="H83" s="205"/>
      <c r="I83" s="205" t="e">
        <f>-(#REF!+#REF!+#REF!)</f>
        <v>#REF!</v>
      </c>
      <c r="J83" s="205">
        <v>0</v>
      </c>
      <c r="K83" s="205">
        <v>0</v>
      </c>
      <c r="L83" s="195" t="e">
        <f>K83/J83-1</f>
        <v>#DIV/0!</v>
      </c>
      <c r="M83" s="210" t="s">
        <v>806</v>
      </c>
    </row>
    <row r="84" spans="3:13" ht="14" x14ac:dyDescent="0.3">
      <c r="C84" s="204"/>
      <c r="D84" s="194"/>
      <c r="E84" s="194"/>
      <c r="F84" s="194"/>
      <c r="G84" s="205"/>
      <c r="H84" s="205"/>
      <c r="I84" s="318"/>
      <c r="J84" s="205"/>
      <c r="K84" s="205"/>
      <c r="L84" s="195"/>
    </row>
    <row r="85" spans="3:13" ht="14" x14ac:dyDescent="0.3">
      <c r="C85" s="196" t="s">
        <v>807</v>
      </c>
      <c r="D85" s="207"/>
      <c r="E85" s="207"/>
      <c r="F85" s="207"/>
      <c r="G85" s="225">
        <f>SUM(G63:G83)-G64</f>
        <v>0</v>
      </c>
      <c r="H85" s="225">
        <f>SUM(H63:H83)-H64</f>
        <v>0</v>
      </c>
      <c r="I85" s="320" t="e">
        <f>SUM(I64:I83)-I64</f>
        <v>#REF!</v>
      </c>
      <c r="J85" s="225">
        <f>SUM(J63:J83)-J64</f>
        <v>0</v>
      </c>
      <c r="K85" s="225">
        <f>SUM(K63:K83)-K64</f>
        <v>0</v>
      </c>
      <c r="L85" s="195"/>
    </row>
    <row r="86" spans="3:13" x14ac:dyDescent="0.3">
      <c r="C86" s="234"/>
      <c r="D86" s="236"/>
      <c r="E86" s="236"/>
      <c r="F86" s="236"/>
      <c r="G86" s="237"/>
      <c r="H86" s="237" t="s">
        <v>808</v>
      </c>
      <c r="I86" s="326"/>
      <c r="J86" s="237"/>
      <c r="K86" s="237"/>
      <c r="L86" s="195"/>
    </row>
    <row r="87" spans="3:13" ht="14" x14ac:dyDescent="0.3">
      <c r="C87" s="196" t="s">
        <v>809</v>
      </c>
      <c r="D87" s="207"/>
      <c r="E87" s="207"/>
      <c r="F87" s="207"/>
      <c r="G87" s="225">
        <f>G58+G85</f>
        <v>0</v>
      </c>
      <c r="H87" s="225">
        <f>H58+H85</f>
        <v>-5.6843418860808015E-14</v>
      </c>
      <c r="I87" s="320" t="e">
        <f>I58+I85</f>
        <v>#REF!</v>
      </c>
      <c r="J87" s="225">
        <f>J58+J85</f>
        <v>0</v>
      </c>
      <c r="K87" s="225">
        <f>K58+K85</f>
        <v>0</v>
      </c>
      <c r="L87" s="195"/>
    </row>
    <row r="88" spans="3:13" ht="14" x14ac:dyDescent="0.3">
      <c r="C88" s="204"/>
      <c r="D88" s="194"/>
      <c r="E88" s="194"/>
      <c r="F88" s="194"/>
      <c r="G88" s="205"/>
      <c r="H88" s="257"/>
      <c r="I88" s="318"/>
      <c r="J88" s="205"/>
      <c r="K88" s="217"/>
      <c r="L88" s="195"/>
    </row>
    <row r="89" spans="3:13" ht="14" x14ac:dyDescent="0.3">
      <c r="C89" s="207"/>
      <c r="D89" s="207"/>
      <c r="E89" s="207"/>
      <c r="F89" s="207"/>
      <c r="G89" s="215"/>
      <c r="H89" s="494"/>
      <c r="I89" s="373"/>
      <c r="J89" s="215"/>
      <c r="K89" s="215"/>
      <c r="L89" s="195"/>
    </row>
    <row r="90" spans="3:13" ht="14" x14ac:dyDescent="0.3">
      <c r="C90" s="209"/>
      <c r="D90" s="209"/>
      <c r="E90" s="209"/>
      <c r="F90" s="209"/>
      <c r="G90" s="222"/>
      <c r="H90" s="258"/>
      <c r="I90" s="374"/>
      <c r="J90" s="222"/>
      <c r="K90" s="222"/>
      <c r="L90" s="195"/>
    </row>
    <row r="91" spans="3:13" ht="14" x14ac:dyDescent="0.3">
      <c r="C91" s="524"/>
      <c r="D91" s="540"/>
      <c r="E91" s="540"/>
      <c r="F91" s="540"/>
      <c r="G91" s="666" t="s">
        <v>76</v>
      </c>
      <c r="H91" s="751" t="s">
        <v>77</v>
      </c>
      <c r="I91" s="752"/>
      <c r="J91" s="753"/>
      <c r="K91" s="541" t="s">
        <v>810</v>
      </c>
      <c r="L91" s="202"/>
    </row>
    <row r="92" spans="3:13" ht="14" x14ac:dyDescent="0.3">
      <c r="C92" s="542" t="s">
        <v>752</v>
      </c>
      <c r="D92" s="543"/>
      <c r="E92" s="543"/>
      <c r="F92" s="543"/>
      <c r="G92" s="546" t="s">
        <v>78</v>
      </c>
      <c r="H92" s="544" t="s">
        <v>79</v>
      </c>
      <c r="I92" s="545"/>
      <c r="J92" s="546" t="s">
        <v>80</v>
      </c>
      <c r="K92" s="547" t="s">
        <v>81</v>
      </c>
      <c r="L92" s="493"/>
    </row>
    <row r="93" spans="3:13" ht="14" x14ac:dyDescent="0.3">
      <c r="C93" s="529" t="s">
        <v>811</v>
      </c>
      <c r="D93" s="489"/>
      <c r="E93" s="489"/>
      <c r="F93" s="489"/>
      <c r="G93" s="491"/>
      <c r="H93" s="531"/>
      <c r="I93" s="490"/>
      <c r="J93" s="490"/>
      <c r="K93" s="491"/>
      <c r="L93" s="204"/>
    </row>
    <row r="94" spans="3:13" ht="14" x14ac:dyDescent="0.3">
      <c r="C94" s="488" t="s">
        <v>141</v>
      </c>
      <c r="D94" s="489"/>
      <c r="E94" s="489"/>
      <c r="F94" s="489"/>
      <c r="G94" s="491">
        <v>1235</v>
      </c>
      <c r="H94" s="531"/>
      <c r="I94" s="490"/>
      <c r="J94" s="667"/>
      <c r="K94" s="491"/>
      <c r="L94" s="204"/>
    </row>
    <row r="95" spans="3:13" ht="14" x14ac:dyDescent="0.3">
      <c r="C95" s="488" t="s">
        <v>812</v>
      </c>
      <c r="D95" s="489"/>
      <c r="E95" s="489"/>
      <c r="F95" s="489"/>
      <c r="G95" s="491">
        <v>-1235</v>
      </c>
      <c r="H95" s="531"/>
      <c r="I95" s="490"/>
      <c r="J95" s="491"/>
      <c r="K95" s="491"/>
      <c r="L95" s="204"/>
    </row>
    <row r="96" spans="3:13" ht="14" x14ac:dyDescent="0.3">
      <c r="C96" s="524" t="s">
        <v>813</v>
      </c>
      <c r="D96" s="523"/>
      <c r="E96" s="523"/>
      <c r="F96" s="523"/>
      <c r="G96" s="668">
        <f>SUM(G94:G95)</f>
        <v>0</v>
      </c>
      <c r="H96" s="668">
        <f>SUM(H94:H95)</f>
        <v>0</v>
      </c>
      <c r="I96" s="668">
        <f>SUM(I94:I95)</f>
        <v>0</v>
      </c>
      <c r="J96" s="668">
        <f>SUM(J94:J95)</f>
        <v>0</v>
      </c>
      <c r="K96" s="668">
        <f>SUM(K94:K95)</f>
        <v>0</v>
      </c>
      <c r="L96" s="204"/>
    </row>
    <row r="97" spans="3:12" ht="14" x14ac:dyDescent="0.3">
      <c r="C97" s="530"/>
      <c r="D97" s="526"/>
      <c r="E97" s="526"/>
      <c r="F97" s="526"/>
      <c r="G97" s="669"/>
      <c r="H97" s="669"/>
      <c r="I97" s="669"/>
      <c r="J97" s="670"/>
      <c r="K97" s="669"/>
      <c r="L97" s="204"/>
    </row>
    <row r="98" spans="3:12" ht="14" x14ac:dyDescent="0.3">
      <c r="C98" s="529" t="s">
        <v>814</v>
      </c>
      <c r="D98" s="489"/>
      <c r="E98" s="489"/>
      <c r="F98" s="489"/>
      <c r="G98" s="671">
        <f>G87+G96</f>
        <v>0</v>
      </c>
      <c r="H98" s="671">
        <f>H87+H96</f>
        <v>-5.6843418860808015E-14</v>
      </c>
      <c r="I98" s="671" t="e">
        <f>I87+I96</f>
        <v>#REF!</v>
      </c>
      <c r="J98" s="671">
        <f>J87+J96</f>
        <v>0</v>
      </c>
      <c r="K98" s="671">
        <f>K87+K96</f>
        <v>0</v>
      </c>
      <c r="L98" s="204"/>
    </row>
    <row r="99" spans="3:12" ht="14" x14ac:dyDescent="0.3">
      <c r="C99" s="525"/>
      <c r="D99" s="526"/>
      <c r="E99" s="526"/>
      <c r="F99" s="526"/>
      <c r="G99" s="528"/>
      <c r="H99" s="528"/>
      <c r="I99" s="527"/>
      <c r="J99" s="532"/>
      <c r="K99" s="528"/>
      <c r="L99" s="204"/>
    </row>
    <row r="100" spans="3:12" ht="14" x14ac:dyDescent="0.3">
      <c r="C100" s="194"/>
      <c r="D100" s="194"/>
      <c r="E100" s="194"/>
      <c r="F100" s="194"/>
      <c r="G100" s="206"/>
      <c r="H100" s="256"/>
      <c r="I100" s="317"/>
      <c r="J100" s="206"/>
      <c r="K100" s="206"/>
      <c r="L100" s="195"/>
    </row>
    <row r="101" spans="3:12" ht="14.5" thickBot="1" x14ac:dyDescent="0.35">
      <c r="C101" s="194"/>
      <c r="D101" s="194"/>
      <c r="E101" s="194"/>
      <c r="F101" s="194"/>
      <c r="G101" s="206"/>
      <c r="H101" s="256"/>
      <c r="I101" s="317"/>
      <c r="J101" s="206"/>
      <c r="K101" s="206"/>
      <c r="L101" s="195"/>
    </row>
    <row r="102" spans="3:12" ht="14" hidden="1" x14ac:dyDescent="0.3">
      <c r="C102" s="194"/>
      <c r="D102" s="194"/>
      <c r="E102" s="194"/>
      <c r="F102" s="194"/>
      <c r="G102" s="206"/>
      <c r="H102" s="256"/>
      <c r="I102" s="317"/>
      <c r="J102" s="206"/>
      <c r="K102" s="206"/>
      <c r="L102" s="195"/>
    </row>
    <row r="103" spans="3:12" ht="14" hidden="1" x14ac:dyDescent="0.3">
      <c r="C103" s="194"/>
      <c r="D103" s="194"/>
      <c r="E103" s="194"/>
      <c r="F103" s="194"/>
      <c r="G103" s="206"/>
      <c r="H103" s="256"/>
      <c r="I103" s="317"/>
      <c r="J103" s="206"/>
      <c r="K103" s="206"/>
      <c r="L103" s="195"/>
    </row>
    <row r="104" spans="3:12" ht="14" hidden="1" x14ac:dyDescent="0.3">
      <c r="C104" s="194"/>
      <c r="D104" s="194"/>
      <c r="E104" s="194"/>
      <c r="F104" s="194"/>
      <c r="G104" s="206"/>
      <c r="H104" s="256"/>
      <c r="I104" s="317"/>
      <c r="J104" s="206"/>
      <c r="K104" s="206"/>
      <c r="L104" s="195"/>
    </row>
    <row r="105" spans="3:12" ht="14" hidden="1" x14ac:dyDescent="0.3">
      <c r="C105" s="194"/>
      <c r="D105" s="194"/>
      <c r="E105" s="194"/>
      <c r="F105" s="194"/>
      <c r="G105" s="206"/>
      <c r="H105" s="256"/>
      <c r="I105" s="317"/>
      <c r="J105" s="206"/>
      <c r="K105" s="206"/>
      <c r="L105" s="195"/>
    </row>
    <row r="106" spans="3:12" ht="14" hidden="1" x14ac:dyDescent="0.3">
      <c r="C106" s="194"/>
      <c r="D106" s="194"/>
      <c r="E106" s="194"/>
      <c r="F106" s="194"/>
      <c r="G106" s="206"/>
      <c r="H106" s="256"/>
      <c r="I106" s="317"/>
      <c r="J106" s="206"/>
      <c r="K106" s="206"/>
      <c r="L106" s="195"/>
    </row>
    <row r="107" spans="3:12" ht="14" hidden="1" x14ac:dyDescent="0.3">
      <c r="C107" s="194"/>
      <c r="D107" s="194"/>
      <c r="E107" s="194"/>
      <c r="F107" s="194"/>
      <c r="G107" s="206"/>
      <c r="H107" s="256"/>
      <c r="I107" s="317"/>
      <c r="J107" s="206"/>
      <c r="K107" s="206"/>
      <c r="L107" s="195"/>
    </row>
    <row r="108" spans="3:12" ht="14" hidden="1" x14ac:dyDescent="0.3">
      <c r="C108" s="194"/>
      <c r="D108" s="194"/>
      <c r="E108" s="194"/>
      <c r="F108" s="194"/>
      <c r="G108" s="206"/>
      <c r="H108" s="256"/>
      <c r="I108" s="317"/>
      <c r="J108" s="206"/>
      <c r="K108" s="206"/>
      <c r="L108" s="195"/>
    </row>
    <row r="109" spans="3:12" ht="14" hidden="1" x14ac:dyDescent="0.3">
      <c r="C109" s="194"/>
      <c r="D109" s="194"/>
      <c r="E109" s="194"/>
      <c r="F109" s="194"/>
      <c r="G109" s="206"/>
      <c r="H109" s="256"/>
      <c r="I109" s="317"/>
      <c r="J109" s="206"/>
      <c r="K109" s="206"/>
      <c r="L109" s="195"/>
    </row>
    <row r="110" spans="3:12" ht="14" hidden="1" x14ac:dyDescent="0.3">
      <c r="C110" s="194"/>
      <c r="D110" s="194"/>
      <c r="E110" s="194"/>
      <c r="F110" s="194"/>
      <c r="G110" s="256"/>
      <c r="H110" s="206"/>
      <c r="I110" s="317"/>
      <c r="J110" s="206"/>
      <c r="K110" s="206"/>
      <c r="L110" s="195"/>
    </row>
    <row r="111" spans="3:12" ht="14" hidden="1" x14ac:dyDescent="0.3">
      <c r="C111" s="226" t="s">
        <v>815</v>
      </c>
      <c r="D111" s="226"/>
      <c r="E111" s="226"/>
      <c r="F111" s="226"/>
      <c r="G111" s="227">
        <v>94238</v>
      </c>
      <c r="H111" s="227">
        <v>31540</v>
      </c>
      <c r="I111" s="327"/>
      <c r="J111" s="206"/>
      <c r="K111" s="206"/>
      <c r="L111" s="195"/>
    </row>
    <row r="112" spans="3:12" ht="14" hidden="1" x14ac:dyDescent="0.3">
      <c r="C112" s="672" t="s">
        <v>243</v>
      </c>
      <c r="D112" s="226"/>
      <c r="E112" s="226"/>
      <c r="F112" s="226"/>
      <c r="G112" s="227"/>
      <c r="H112" s="227">
        <f>H87-H111</f>
        <v>-31540</v>
      </c>
      <c r="I112" s="327"/>
      <c r="J112" s="206"/>
      <c r="K112" s="206"/>
      <c r="L112" s="195"/>
    </row>
    <row r="113" spans="3:12" ht="14" hidden="1" x14ac:dyDescent="0.3">
      <c r="C113" s="226"/>
      <c r="D113" s="226"/>
      <c r="E113" s="226"/>
      <c r="F113" s="226"/>
      <c r="G113" s="327">
        <v>-164031</v>
      </c>
      <c r="H113" s="227"/>
      <c r="I113" s="227"/>
      <c r="J113" s="206"/>
      <c r="K113" s="206"/>
      <c r="L113" s="195"/>
    </row>
    <row r="114" spans="3:12" ht="14" hidden="1" x14ac:dyDescent="0.3">
      <c r="C114" s="226"/>
      <c r="D114" s="226"/>
      <c r="E114" s="226"/>
      <c r="F114" s="226"/>
      <c r="G114" s="327">
        <v>86604</v>
      </c>
      <c r="H114" s="227"/>
      <c r="I114" s="227"/>
      <c r="J114" s="206"/>
      <c r="K114" s="206"/>
      <c r="L114" s="195"/>
    </row>
    <row r="115" spans="3:12" ht="14" hidden="1" x14ac:dyDescent="0.3">
      <c r="C115" s="226"/>
      <c r="D115" s="226"/>
      <c r="E115" s="226"/>
      <c r="F115" s="226"/>
      <c r="G115" s="327">
        <v>40222</v>
      </c>
      <c r="H115" s="227"/>
      <c r="I115" s="227"/>
      <c r="J115" s="206"/>
      <c r="K115" s="206"/>
      <c r="L115" s="195"/>
    </row>
    <row r="116" spans="3:12" ht="14" hidden="1" x14ac:dyDescent="0.3">
      <c r="C116" s="226"/>
      <c r="D116" s="226"/>
      <c r="E116" s="226"/>
      <c r="F116" s="226"/>
      <c r="G116" s="327">
        <v>-8486</v>
      </c>
      <c r="H116" s="227"/>
      <c r="I116" s="227"/>
      <c r="J116" s="206"/>
      <c r="K116" s="206"/>
      <c r="L116" s="195"/>
    </row>
    <row r="117" spans="3:12" ht="14" hidden="1" x14ac:dyDescent="0.3">
      <c r="C117" s="226"/>
      <c r="D117" s="226"/>
      <c r="E117" s="226"/>
      <c r="F117" s="226"/>
      <c r="G117" s="327">
        <v>-1348</v>
      </c>
      <c r="H117" s="227"/>
      <c r="I117" s="227"/>
      <c r="J117" s="206"/>
      <c r="K117" s="206"/>
      <c r="L117" s="195"/>
    </row>
    <row r="118" spans="3:12" ht="14" hidden="1" x14ac:dyDescent="0.3">
      <c r="C118" s="226"/>
      <c r="D118" s="226"/>
      <c r="E118" s="226"/>
      <c r="F118" s="226"/>
      <c r="G118" s="327">
        <v>252</v>
      </c>
      <c r="H118" s="227"/>
      <c r="I118" s="227"/>
      <c r="J118" s="206"/>
      <c r="K118" s="206"/>
      <c r="L118" s="195"/>
    </row>
    <row r="119" spans="3:12" ht="14" hidden="1" x14ac:dyDescent="0.3">
      <c r="C119" s="226"/>
      <c r="D119" s="226"/>
      <c r="E119" s="226"/>
      <c r="F119" s="226"/>
      <c r="G119" s="327">
        <v>-72.34</v>
      </c>
      <c r="H119" s="227"/>
      <c r="I119" s="227"/>
      <c r="J119" s="206"/>
      <c r="K119" s="206"/>
      <c r="L119" s="195"/>
    </row>
    <row r="120" spans="3:12" ht="14" hidden="1" x14ac:dyDescent="0.3">
      <c r="C120" s="226"/>
      <c r="D120" s="226"/>
      <c r="E120" s="226"/>
      <c r="F120" s="226"/>
      <c r="G120" s="327">
        <v>896.84</v>
      </c>
      <c r="H120" s="227"/>
      <c r="I120" s="227"/>
      <c r="J120" s="206"/>
      <c r="K120" s="206"/>
      <c r="L120" s="195"/>
    </row>
    <row r="121" spans="3:12" ht="14" hidden="1" x14ac:dyDescent="0.3">
      <c r="C121" s="226"/>
      <c r="D121" s="226"/>
      <c r="E121" s="226"/>
      <c r="F121" s="226"/>
      <c r="G121" s="327">
        <v>2945.47</v>
      </c>
      <c r="H121" s="227"/>
      <c r="I121" s="227"/>
      <c r="J121" s="206"/>
      <c r="K121" s="206"/>
      <c r="L121" s="195"/>
    </row>
    <row r="122" spans="3:12" ht="14" hidden="1" x14ac:dyDescent="0.3">
      <c r="C122" s="226"/>
      <c r="D122" s="226"/>
      <c r="E122" s="226"/>
      <c r="F122" s="226"/>
      <c r="G122" s="327">
        <v>-367.85</v>
      </c>
      <c r="H122" s="227"/>
      <c r="I122" s="227"/>
      <c r="J122" s="206"/>
      <c r="K122" s="206"/>
      <c r="L122" s="195"/>
    </row>
    <row r="123" spans="3:12" ht="14" hidden="1" x14ac:dyDescent="0.3">
      <c r="C123" s="194"/>
      <c r="D123" s="194"/>
      <c r="E123" s="194"/>
      <c r="F123" s="194"/>
      <c r="G123" s="327">
        <f>SUM(G111:G122)</f>
        <v>50853.120000000003</v>
      </c>
      <c r="H123" s="227"/>
      <c r="I123" s="227"/>
    </row>
    <row r="124" spans="3:12" ht="13.5" hidden="1" thickBot="1" x14ac:dyDescent="0.35">
      <c r="G124" s="426">
        <f>G123-G87</f>
        <v>50853.120000000003</v>
      </c>
    </row>
    <row r="125" spans="3:12" x14ac:dyDescent="0.3">
      <c r="C125" s="427" t="s">
        <v>152</v>
      </c>
      <c r="D125" s="428"/>
      <c r="E125" s="428"/>
      <c r="F125" s="428"/>
      <c r="G125" s="428"/>
      <c r="H125" s="428"/>
      <c r="I125" s="428"/>
      <c r="J125" s="428"/>
      <c r="K125" s="673"/>
    </row>
    <row r="126" spans="3:12" x14ac:dyDescent="0.3">
      <c r="C126" s="429" t="str">
        <f>C16</f>
        <v>Supplies &amp; Services</v>
      </c>
      <c r="G126" s="674">
        <f>SUM(G17:G27)</f>
        <v>0</v>
      </c>
      <c r="H126" s="674">
        <f>SUM(H17:H27)</f>
        <v>0</v>
      </c>
      <c r="I126" s="674"/>
      <c r="J126" s="674">
        <f>SUM(J17:J27)</f>
        <v>0</v>
      </c>
      <c r="K126" s="675">
        <f>SUM(K17:K27)</f>
        <v>0</v>
      </c>
    </row>
    <row r="127" spans="3:12" x14ac:dyDescent="0.3">
      <c r="C127" s="429" t="str">
        <f>C32</f>
        <v>Third-Party Payments</v>
      </c>
      <c r="G127" s="674">
        <f>SUM(G33:G38)</f>
        <v>0</v>
      </c>
      <c r="H127" s="674">
        <f>SUM(H33:H38)</f>
        <v>0</v>
      </c>
      <c r="I127" s="674"/>
      <c r="J127" s="674">
        <f>SUM(J33:J38)</f>
        <v>0</v>
      </c>
      <c r="K127" s="675">
        <f>SUM(K33:K38)</f>
        <v>0</v>
      </c>
    </row>
    <row r="128" spans="3:12" x14ac:dyDescent="0.3">
      <c r="C128" s="429" t="str">
        <f>C40</f>
        <v>Transfer to Specific Reserves</v>
      </c>
      <c r="G128" s="674">
        <f>SUM(G30)</f>
        <v>0</v>
      </c>
      <c r="H128" s="674">
        <f>SUM(H30)</f>
        <v>0</v>
      </c>
      <c r="I128" s="674">
        <f>SUM(I30)</f>
        <v>0</v>
      </c>
      <c r="J128" s="674">
        <f>SUM(J30)</f>
        <v>0</v>
      </c>
      <c r="K128" s="675">
        <f>SUM(K30)</f>
        <v>0</v>
      </c>
    </row>
    <row r="129" spans="3:14" x14ac:dyDescent="0.3">
      <c r="C129" s="429" t="str">
        <f>C46</f>
        <v>Central Recharges</v>
      </c>
      <c r="G129" s="674">
        <f>SUM(G47:G48)</f>
        <v>0</v>
      </c>
      <c r="H129" s="674">
        <f>SUM(H47:H48)</f>
        <v>0</v>
      </c>
      <c r="I129" s="674"/>
      <c r="J129" s="674">
        <f>SUM(J47:J48)</f>
        <v>0</v>
      </c>
      <c r="K129" s="675">
        <f>SUM(K47:K48)</f>
        <v>0</v>
      </c>
    </row>
    <row r="130" spans="3:14" x14ac:dyDescent="0.3">
      <c r="C130" s="429" t="str">
        <f>C50</f>
        <v>Capital Financing Costs</v>
      </c>
      <c r="G130" s="674">
        <f>SUM(G51:G56)</f>
        <v>0</v>
      </c>
      <c r="H130" s="674">
        <f>SUM(H51:H56)</f>
        <v>0</v>
      </c>
      <c r="I130" s="674"/>
      <c r="J130" s="674">
        <f>SUM(J51:J56)</f>
        <v>0</v>
      </c>
      <c r="K130" s="675">
        <f>SUM(K51:K54)</f>
        <v>0</v>
      </c>
    </row>
    <row r="131" spans="3:14" x14ac:dyDescent="0.3">
      <c r="C131" s="430"/>
      <c r="D131" s="238"/>
      <c r="E131" s="238"/>
      <c r="F131" s="238"/>
      <c r="G131" s="676">
        <f>SUM(G126:G130)</f>
        <v>0</v>
      </c>
      <c r="H131" s="676">
        <f>SUM(H126:H130)</f>
        <v>0</v>
      </c>
      <c r="I131" s="676"/>
      <c r="J131" s="676">
        <f>SUM(J126:J130)</f>
        <v>0</v>
      </c>
      <c r="K131" s="677">
        <f>SUM(K126:K130)</f>
        <v>0</v>
      </c>
    </row>
    <row r="132" spans="3:14" x14ac:dyDescent="0.3">
      <c r="C132" s="429"/>
      <c r="G132" s="678">
        <f>G131-G58</f>
        <v>0</v>
      </c>
      <c r="H132" s="678">
        <f>H131-H58</f>
        <v>5.6843418860808015E-14</v>
      </c>
      <c r="I132" s="678"/>
      <c r="J132" s="678">
        <f>J131-J58</f>
        <v>0</v>
      </c>
      <c r="K132" s="679">
        <f>K131-K58</f>
        <v>0</v>
      </c>
    </row>
    <row r="133" spans="3:14" x14ac:dyDescent="0.3">
      <c r="C133" s="431" t="str">
        <f>C60</f>
        <v>Income</v>
      </c>
      <c r="G133" s="172"/>
      <c r="K133" s="680"/>
    </row>
    <row r="134" spans="3:14" x14ac:dyDescent="0.3">
      <c r="C134" s="429" t="str">
        <f>C62</f>
        <v>Reimbursements &amp; Contributions</v>
      </c>
      <c r="G134" s="674">
        <f>SUM(G63:G66)-G64</f>
        <v>0</v>
      </c>
      <c r="H134" s="674">
        <f>SUM(H63:H66)-H64</f>
        <v>0</v>
      </c>
      <c r="I134" s="674">
        <f>SUM(I63:I66)-I64</f>
        <v>0</v>
      </c>
      <c r="J134" s="674">
        <f>SUM(J63:J66)-J64</f>
        <v>0</v>
      </c>
      <c r="K134" s="675">
        <f>SUM(K63:K66)-K64</f>
        <v>0</v>
      </c>
    </row>
    <row r="135" spans="3:14" x14ac:dyDescent="0.3">
      <c r="C135" s="429" t="str">
        <f>C68</f>
        <v>Customer &amp; Client Receipts</v>
      </c>
      <c r="G135" s="674">
        <f>SUM(G69:G79)</f>
        <v>0</v>
      </c>
      <c r="H135" s="674">
        <f>SUM(H69:H73)</f>
        <v>0</v>
      </c>
      <c r="I135" s="674"/>
      <c r="J135" s="674">
        <f>SUM(J69:J73)</f>
        <v>0</v>
      </c>
      <c r="K135" s="675">
        <f>SUM(K69:K73)</f>
        <v>0</v>
      </c>
    </row>
    <row r="136" spans="3:14" x14ac:dyDescent="0.3">
      <c r="C136" s="429" t="str">
        <f>C83</f>
        <v>Reversal of Capital Charges</v>
      </c>
      <c r="G136" s="674">
        <f>G83</f>
        <v>0</v>
      </c>
      <c r="H136" s="674">
        <f>H83</f>
        <v>0</v>
      </c>
      <c r="I136" s="674"/>
      <c r="J136" s="674">
        <f>J83</f>
        <v>0</v>
      </c>
      <c r="K136" s="675">
        <f>K83</f>
        <v>0</v>
      </c>
      <c r="N136" s="228"/>
    </row>
    <row r="137" spans="3:14" x14ac:dyDescent="0.3">
      <c r="C137" s="432"/>
      <c r="D137" s="239"/>
      <c r="E137" s="239"/>
      <c r="F137" s="239"/>
      <c r="G137" s="676">
        <f>SUM(G134:G136)</f>
        <v>0</v>
      </c>
      <c r="H137" s="676">
        <f>SUM(H134:H136)</f>
        <v>0</v>
      </c>
      <c r="I137" s="676">
        <f>SUM(I134:I136)</f>
        <v>0</v>
      </c>
      <c r="J137" s="676">
        <f>SUM(J134:J136)</f>
        <v>0</v>
      </c>
      <c r="K137" s="677">
        <f>SUM(K134:K136)</f>
        <v>0</v>
      </c>
    </row>
    <row r="138" spans="3:14" x14ac:dyDescent="0.3">
      <c r="C138" s="432"/>
      <c r="D138" s="239"/>
      <c r="E138" s="239"/>
      <c r="F138" s="239"/>
      <c r="G138" s="676"/>
      <c r="H138" s="676"/>
      <c r="I138" s="676"/>
      <c r="J138" s="676"/>
      <c r="K138" s="677"/>
    </row>
    <row r="139" spans="3:14" x14ac:dyDescent="0.3">
      <c r="C139" s="430"/>
      <c r="D139" s="238"/>
      <c r="E139" s="238"/>
      <c r="F139" s="238"/>
      <c r="G139" s="676">
        <f>G131+G137</f>
        <v>0</v>
      </c>
      <c r="H139" s="676">
        <f>H131+H137</f>
        <v>0</v>
      </c>
      <c r="I139" s="676"/>
      <c r="J139" s="676">
        <f>J131+J137</f>
        <v>0</v>
      </c>
      <c r="K139" s="677">
        <f>K131+K137</f>
        <v>0</v>
      </c>
    </row>
    <row r="140" spans="3:14" x14ac:dyDescent="0.3">
      <c r="C140" s="429"/>
      <c r="G140" s="172"/>
      <c r="K140" s="680"/>
    </row>
    <row r="141" spans="3:14" ht="13.5" thickBot="1" x14ac:dyDescent="0.35">
      <c r="C141" s="433"/>
      <c r="D141" s="434"/>
      <c r="E141" s="434"/>
      <c r="F141" s="434"/>
      <c r="G141" s="681">
        <f>G87+-G139</f>
        <v>0</v>
      </c>
      <c r="H141" s="681">
        <f>H87+-H139</f>
        <v>-5.6843418860808015E-14</v>
      </c>
      <c r="I141" s="681"/>
      <c r="J141" s="681">
        <f>J87+-J139</f>
        <v>0</v>
      </c>
      <c r="K141" s="682">
        <f>K87+-K139</f>
        <v>0</v>
      </c>
    </row>
  </sheetData>
  <mergeCells count="8">
    <mergeCell ref="H91:J91"/>
    <mergeCell ref="C69:F69"/>
    <mergeCell ref="C18:F18"/>
    <mergeCell ref="C1:K1"/>
    <mergeCell ref="P6:Q6"/>
    <mergeCell ref="C3:K3"/>
    <mergeCell ref="C4:K4"/>
    <mergeCell ref="H6:J6"/>
  </mergeCells>
  <phoneticPr fontId="0" type="noConversion"/>
  <printOptions horizontalCentered="1"/>
  <pageMargins left="0.70866141732283472" right="0.55118110236220474" top="0.78740157480314965" bottom="0.78740157480314965" header="0.51181102362204722" footer="0.51181102362204722"/>
  <pageSetup paperSize="9" scale="89" fitToHeight="100" orientation="portrait" r:id="rId1"/>
  <headerFooter>
    <oddFooter>Page &amp;P</oddFooter>
  </headerFooter>
  <rowBreaks count="1" manualBreakCount="1">
    <brk id="67" min="2" max="10" man="1"/>
  </row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
    <tabColor rgb="FF92D050"/>
  </sheetPr>
  <dimension ref="A1:N58"/>
  <sheetViews>
    <sheetView showGridLines="0" topLeftCell="B1" zoomScale="90" zoomScaleNormal="90" zoomScaleSheetLayoutView="85" workbookViewId="0">
      <pane xSplit="1" topLeftCell="C1" activePane="topRight" state="frozen"/>
      <selection activeCell="B1" sqref="B1"/>
      <selection pane="topRight" activeCell="I16" sqref="I16"/>
    </sheetView>
  </sheetViews>
  <sheetFormatPr defaultColWidth="9.296875" defaultRowHeight="14.5" x14ac:dyDescent="0.35"/>
  <cols>
    <col min="1" max="1" width="14.69921875" style="580" hidden="1" customWidth="1"/>
    <col min="2" max="2" width="27.796875" style="580" customWidth="1"/>
    <col min="3" max="3" width="6.69921875" style="580" customWidth="1"/>
    <col min="4" max="4" width="10.296875" style="567" bestFit="1" customWidth="1"/>
    <col min="5" max="7" width="10.296875" style="580" bestFit="1" customWidth="1"/>
    <col min="8" max="8" width="8.796875" style="580" bestFit="1" customWidth="1"/>
    <col min="9" max="9" width="10.19921875" style="580" customWidth="1"/>
    <col min="10" max="10" width="10.296875" style="580" bestFit="1" customWidth="1"/>
    <col min="11" max="11" width="31.5" style="580" customWidth="1"/>
    <col min="12" max="12" width="9.296875" style="580"/>
    <col min="13" max="13" width="10.19921875" style="580" bestFit="1" customWidth="1"/>
    <col min="14" max="14" width="12.69921875" style="580" bestFit="1" customWidth="1"/>
    <col min="15" max="16384" width="9.296875" style="580"/>
  </cols>
  <sheetData>
    <row r="1" spans="1:13" x14ac:dyDescent="0.35">
      <c r="K1" s="599"/>
    </row>
    <row r="2" spans="1:13" s="571" customFormat="1" ht="16.5" customHeight="1" x14ac:dyDescent="0.35">
      <c r="B2" s="591" t="s">
        <v>823</v>
      </c>
      <c r="C2" s="592" t="s">
        <v>824</v>
      </c>
      <c r="D2" s="606" t="s">
        <v>825</v>
      </c>
      <c r="E2" s="592" t="s">
        <v>826</v>
      </c>
      <c r="F2" s="592" t="s">
        <v>827</v>
      </c>
      <c r="G2" s="592" t="s">
        <v>825</v>
      </c>
      <c r="H2" s="592" t="s">
        <v>826</v>
      </c>
      <c r="I2" s="592" t="s">
        <v>827</v>
      </c>
      <c r="J2" s="592" t="s">
        <v>825</v>
      </c>
    </row>
    <row r="3" spans="1:13" s="571" customFormat="1" ht="18" customHeight="1" x14ac:dyDescent="0.35">
      <c r="C3" s="592"/>
      <c r="D3" s="607" t="s">
        <v>828</v>
      </c>
      <c r="E3" s="593" t="s">
        <v>326</v>
      </c>
      <c r="F3" s="593" t="str">
        <f>E3</f>
        <v>25/26</v>
      </c>
      <c r="G3" s="600" t="s">
        <v>829</v>
      </c>
      <c r="H3" s="593" t="s">
        <v>327</v>
      </c>
      <c r="I3" s="593" t="str">
        <f>H3</f>
        <v>26/27</v>
      </c>
      <c r="J3" s="600" t="s">
        <v>2261</v>
      </c>
      <c r="K3" s="571" t="s">
        <v>830</v>
      </c>
      <c r="L3" s="610"/>
      <c r="M3" s="611"/>
    </row>
    <row r="4" spans="1:13" s="567" customFormat="1" x14ac:dyDescent="0.35">
      <c r="B4" s="570" t="s">
        <v>64</v>
      </c>
      <c r="C4" s="594"/>
      <c r="D4" s="594" t="s">
        <v>41</v>
      </c>
      <c r="E4" s="594" t="s">
        <v>41</v>
      </c>
      <c r="F4" s="594" t="s">
        <v>41</v>
      </c>
      <c r="G4" s="594" t="s">
        <v>41</v>
      </c>
      <c r="H4" s="594" t="s">
        <v>41</v>
      </c>
      <c r="I4" s="594" t="s">
        <v>41</v>
      </c>
      <c r="J4" s="594" t="s">
        <v>41</v>
      </c>
      <c r="K4" s="569"/>
      <c r="L4" s="610"/>
      <c r="M4" s="611"/>
    </row>
    <row r="5" spans="1:13" s="567" customFormat="1" x14ac:dyDescent="0.35">
      <c r="B5" s="570" t="s">
        <v>831</v>
      </c>
      <c r="C5" s="568"/>
      <c r="D5" s="568"/>
      <c r="E5" s="568"/>
      <c r="F5" s="568"/>
      <c r="G5" s="568"/>
      <c r="H5" s="568"/>
      <c r="I5" s="568"/>
      <c r="J5" s="568"/>
      <c r="L5" s="610"/>
      <c r="M5" s="611"/>
    </row>
    <row r="6" spans="1:13" x14ac:dyDescent="0.35">
      <c r="B6" s="580" t="s">
        <v>832</v>
      </c>
      <c r="C6" s="595" t="s">
        <v>833</v>
      </c>
      <c r="D6" s="568">
        <v>36931</v>
      </c>
      <c r="E6" s="568">
        <v>10000</v>
      </c>
      <c r="F6" s="568">
        <v>27208.73</v>
      </c>
      <c r="G6" s="568">
        <v>19722.27</v>
      </c>
      <c r="H6" s="568">
        <v>95000</v>
      </c>
      <c r="I6" s="630">
        <v>90000</v>
      </c>
      <c r="J6" s="568">
        <v>24722.270000000004</v>
      </c>
      <c r="K6" s="580" t="s">
        <v>2262</v>
      </c>
      <c r="L6" s="610"/>
      <c r="M6" s="611"/>
    </row>
    <row r="7" spans="1:13" x14ac:dyDescent="0.35">
      <c r="B7" s="580" t="s">
        <v>834</v>
      </c>
      <c r="C7" s="632" t="s">
        <v>833</v>
      </c>
      <c r="D7" s="630">
        <v>56994</v>
      </c>
      <c r="E7" s="630">
        <v>20000</v>
      </c>
      <c r="F7" s="630">
        <v>51566</v>
      </c>
      <c r="G7" s="630">
        <v>25428</v>
      </c>
      <c r="H7" s="630">
        <v>80000</v>
      </c>
      <c r="I7" s="630">
        <v>80000</v>
      </c>
      <c r="J7" s="630">
        <v>25428</v>
      </c>
      <c r="K7" s="580" t="s">
        <v>2265</v>
      </c>
      <c r="L7" s="610"/>
      <c r="M7" s="611"/>
    </row>
    <row r="8" spans="1:13" x14ac:dyDescent="0.35">
      <c r="B8" s="580" t="s">
        <v>835</v>
      </c>
      <c r="C8" s="632" t="s">
        <v>833</v>
      </c>
      <c r="D8" s="630">
        <v>31643</v>
      </c>
      <c r="E8" s="630">
        <v>259000</v>
      </c>
      <c r="F8" s="630">
        <v>290643</v>
      </c>
      <c r="G8" s="630">
        <v>0</v>
      </c>
      <c r="H8" s="630">
        <v>0</v>
      </c>
      <c r="I8" s="630">
        <v>0</v>
      </c>
      <c r="J8" s="630">
        <v>0</v>
      </c>
      <c r="L8" s="610"/>
      <c r="M8" s="611"/>
    </row>
    <row r="9" spans="1:13" x14ac:dyDescent="0.35">
      <c r="A9" s="580">
        <v>93150999</v>
      </c>
      <c r="B9" s="580" t="s">
        <v>836</v>
      </c>
      <c r="C9" s="595" t="s">
        <v>833</v>
      </c>
      <c r="D9" s="568">
        <v>10054</v>
      </c>
      <c r="E9" s="568">
        <v>19000</v>
      </c>
      <c r="F9" s="568">
        <v>1470</v>
      </c>
      <c r="G9" s="568">
        <v>27584</v>
      </c>
      <c r="H9" s="568">
        <v>12000</v>
      </c>
      <c r="I9" s="630">
        <v>0</v>
      </c>
      <c r="J9" s="568">
        <v>39584</v>
      </c>
      <c r="K9" s="580" t="s">
        <v>837</v>
      </c>
      <c r="L9" s="610"/>
      <c r="M9" s="611"/>
    </row>
    <row r="10" spans="1:13" x14ac:dyDescent="0.35">
      <c r="A10" s="580">
        <v>93150799</v>
      </c>
      <c r="B10" s="580" t="s">
        <v>118</v>
      </c>
      <c r="C10" s="595" t="s">
        <v>833</v>
      </c>
      <c r="D10" s="568">
        <v>29715</v>
      </c>
      <c r="E10" s="568">
        <v>1000</v>
      </c>
      <c r="F10" s="568">
        <v>13503</v>
      </c>
      <c r="G10" s="568">
        <v>17212</v>
      </c>
      <c r="H10" s="568">
        <v>30000</v>
      </c>
      <c r="I10" s="630">
        <v>30000</v>
      </c>
      <c r="J10" s="568">
        <v>17212</v>
      </c>
      <c r="K10" s="580" t="s">
        <v>838</v>
      </c>
      <c r="L10" s="610"/>
      <c r="M10" s="611"/>
    </row>
    <row r="11" spans="1:13" x14ac:dyDescent="0.35">
      <c r="B11" s="580" t="s">
        <v>839</v>
      </c>
      <c r="C11" s="595" t="s">
        <v>833</v>
      </c>
      <c r="D11" s="568">
        <v>11000</v>
      </c>
      <c r="E11" s="568">
        <v>2500</v>
      </c>
      <c r="F11" s="568">
        <v>0</v>
      </c>
      <c r="G11" s="568">
        <v>13500</v>
      </c>
      <c r="H11" s="568">
        <v>2500</v>
      </c>
      <c r="I11" s="630">
        <v>0</v>
      </c>
      <c r="J11" s="568">
        <v>16000</v>
      </c>
      <c r="L11" s="610"/>
      <c r="M11" s="611"/>
    </row>
    <row r="12" spans="1:13" x14ac:dyDescent="0.35">
      <c r="B12" s="580" t="s">
        <v>840</v>
      </c>
      <c r="C12" s="595" t="s">
        <v>833</v>
      </c>
      <c r="D12" s="568">
        <v>13663</v>
      </c>
      <c r="E12" s="568">
        <v>20000</v>
      </c>
      <c r="F12" s="568">
        <v>6546.7</v>
      </c>
      <c r="G12" s="568">
        <v>27116.3</v>
      </c>
      <c r="H12" s="568">
        <v>6000</v>
      </c>
      <c r="I12" s="630">
        <v>12000</v>
      </c>
      <c r="J12" s="568">
        <v>21116.300000000003</v>
      </c>
      <c r="K12" s="580" t="s">
        <v>841</v>
      </c>
      <c r="L12" s="610"/>
      <c r="M12" s="611"/>
    </row>
    <row r="13" spans="1:13" x14ac:dyDescent="0.35">
      <c r="B13" s="580" t="s">
        <v>2251</v>
      </c>
      <c r="C13" s="595" t="s">
        <v>833</v>
      </c>
      <c r="D13" s="568">
        <v>10800</v>
      </c>
      <c r="E13" s="568">
        <v>2000</v>
      </c>
      <c r="F13" s="568">
        <v>0</v>
      </c>
      <c r="G13" s="568">
        <v>12800</v>
      </c>
      <c r="H13" s="568">
        <v>0</v>
      </c>
      <c r="I13" s="630">
        <v>0</v>
      </c>
      <c r="J13" s="568">
        <v>12800</v>
      </c>
      <c r="K13" s="580" t="s">
        <v>2263</v>
      </c>
      <c r="L13" s="610"/>
      <c r="M13" s="611"/>
    </row>
    <row r="14" spans="1:13" x14ac:dyDescent="0.35">
      <c r="B14" s="580" t="s">
        <v>842</v>
      </c>
      <c r="C14" s="595" t="s">
        <v>843</v>
      </c>
      <c r="D14" s="568">
        <v>11000</v>
      </c>
      <c r="E14" s="568">
        <v>0</v>
      </c>
      <c r="F14" s="568">
        <v>0</v>
      </c>
      <c r="G14" s="568">
        <v>11000</v>
      </c>
      <c r="H14" s="568">
        <v>0</v>
      </c>
      <c r="I14" s="630">
        <v>11000</v>
      </c>
      <c r="J14" s="568">
        <v>0</v>
      </c>
      <c r="L14" s="610"/>
      <c r="M14" s="611"/>
    </row>
    <row r="15" spans="1:13" x14ac:dyDescent="0.35">
      <c r="B15" s="580" t="s">
        <v>844</v>
      </c>
      <c r="C15" s="632" t="s">
        <v>843</v>
      </c>
      <c r="D15" s="630">
        <v>440310</v>
      </c>
      <c r="E15" s="568">
        <v>5000</v>
      </c>
      <c r="F15" s="568">
        <v>5000</v>
      </c>
      <c r="G15" s="568">
        <v>440310</v>
      </c>
      <c r="H15" s="568">
        <v>0</v>
      </c>
      <c r="I15" s="630">
        <v>280000</v>
      </c>
      <c r="J15" s="568">
        <v>160310</v>
      </c>
      <c r="K15" s="580" t="s">
        <v>845</v>
      </c>
      <c r="L15" s="610"/>
      <c r="M15" s="611"/>
    </row>
    <row r="16" spans="1:13" x14ac:dyDescent="0.35">
      <c r="A16" s="580">
        <v>93150399</v>
      </c>
      <c r="B16" s="580" t="s">
        <v>846</v>
      </c>
      <c r="C16" s="595" t="s">
        <v>833</v>
      </c>
      <c r="D16" s="568">
        <v>113473</v>
      </c>
      <c r="E16" s="568">
        <v>22400</v>
      </c>
      <c r="F16" s="631">
        <v>45171</v>
      </c>
      <c r="G16" s="568">
        <v>90702</v>
      </c>
      <c r="H16" s="568">
        <v>22000</v>
      </c>
      <c r="I16" s="630">
        <v>50000</v>
      </c>
      <c r="J16" s="568">
        <v>62702</v>
      </c>
      <c r="K16" s="580" t="s">
        <v>847</v>
      </c>
      <c r="L16" s="610"/>
      <c r="M16" s="611"/>
    </row>
    <row r="17" spans="1:13" x14ac:dyDescent="0.35">
      <c r="C17" s="595"/>
      <c r="D17" s="568"/>
      <c r="E17" s="568"/>
      <c r="F17" s="630"/>
      <c r="G17" s="568"/>
      <c r="H17" s="568"/>
      <c r="I17" s="568"/>
      <c r="J17" s="568"/>
      <c r="L17" s="610"/>
      <c r="M17" s="611"/>
    </row>
    <row r="18" spans="1:13" ht="15" customHeight="1" x14ac:dyDescent="0.35">
      <c r="B18" s="581" t="s">
        <v>758</v>
      </c>
      <c r="C18" s="568"/>
      <c r="D18" s="568"/>
      <c r="E18" s="568"/>
      <c r="F18" s="568"/>
      <c r="G18" s="568"/>
      <c r="H18" s="568"/>
      <c r="I18" s="568"/>
      <c r="J18" s="568"/>
      <c r="L18" s="610"/>
      <c r="M18" s="611"/>
    </row>
    <row r="19" spans="1:13" x14ac:dyDescent="0.35">
      <c r="B19" s="580" t="s">
        <v>2250</v>
      </c>
      <c r="C19" s="632" t="s">
        <v>833</v>
      </c>
      <c r="D19" s="630">
        <v>4872</v>
      </c>
      <c r="E19" s="630">
        <v>1000</v>
      </c>
      <c r="F19" s="630">
        <v>125</v>
      </c>
      <c r="G19" s="630">
        <v>5747</v>
      </c>
      <c r="H19" s="630">
        <v>0</v>
      </c>
      <c r="I19" s="630">
        <v>0</v>
      </c>
      <c r="J19" s="630">
        <v>5747</v>
      </c>
      <c r="L19" s="610"/>
      <c r="M19" s="611"/>
    </row>
    <row r="20" spans="1:13" x14ac:dyDescent="0.35">
      <c r="A20" s="580">
        <v>93151399</v>
      </c>
      <c r="B20" s="580" t="s">
        <v>848</v>
      </c>
      <c r="C20" s="595" t="s">
        <v>833</v>
      </c>
      <c r="D20" s="568">
        <v>4420</v>
      </c>
      <c r="E20" s="568">
        <v>0</v>
      </c>
      <c r="F20" s="568">
        <v>0</v>
      </c>
      <c r="G20" s="568">
        <v>4420</v>
      </c>
      <c r="H20" s="630">
        <v>9000</v>
      </c>
      <c r="I20" s="568">
        <v>12000</v>
      </c>
      <c r="J20" s="568">
        <v>1420</v>
      </c>
      <c r="K20" s="580" t="s">
        <v>849</v>
      </c>
      <c r="L20" s="610"/>
      <c r="M20" s="611"/>
    </row>
    <row r="21" spans="1:13" x14ac:dyDescent="0.35">
      <c r="B21" s="580" t="s">
        <v>850</v>
      </c>
      <c r="C21" s="595" t="s">
        <v>833</v>
      </c>
      <c r="D21" s="568">
        <v>1230</v>
      </c>
      <c r="E21" s="568">
        <v>1431</v>
      </c>
      <c r="F21" s="568">
        <v>2661</v>
      </c>
      <c r="G21" s="568">
        <v>0</v>
      </c>
      <c r="H21" s="630">
        <v>0</v>
      </c>
      <c r="I21" s="568">
        <v>0</v>
      </c>
      <c r="J21" s="568">
        <v>0</v>
      </c>
      <c r="K21" s="580" t="s">
        <v>851</v>
      </c>
      <c r="L21" s="610"/>
      <c r="M21" s="611"/>
    </row>
    <row r="22" spans="1:13" x14ac:dyDescent="0.35">
      <c r="B22" s="580" t="s">
        <v>852</v>
      </c>
      <c r="C22" s="595" t="s">
        <v>843</v>
      </c>
      <c r="D22" s="568">
        <v>33975</v>
      </c>
      <c r="E22" s="568">
        <v>0</v>
      </c>
      <c r="F22" s="568">
        <v>10000</v>
      </c>
      <c r="G22" s="568">
        <v>23975</v>
      </c>
      <c r="H22" s="568">
        <v>0</v>
      </c>
      <c r="I22" s="568">
        <v>5000</v>
      </c>
      <c r="J22" s="568">
        <v>18975</v>
      </c>
      <c r="K22" s="580" t="s">
        <v>853</v>
      </c>
      <c r="L22" s="610"/>
      <c r="M22" s="611"/>
    </row>
    <row r="23" spans="1:13" x14ac:dyDescent="0.35">
      <c r="B23" s="581" t="s">
        <v>854</v>
      </c>
      <c r="C23" s="595"/>
      <c r="D23" s="568"/>
      <c r="E23" s="568"/>
      <c r="F23" s="568"/>
      <c r="G23" s="568"/>
      <c r="H23" s="568"/>
      <c r="I23" s="568"/>
      <c r="J23" s="568"/>
      <c r="K23" s="608"/>
      <c r="L23" s="610"/>
      <c r="M23" s="611"/>
    </row>
    <row r="24" spans="1:13" x14ac:dyDescent="0.35">
      <c r="B24" s="580" t="s">
        <v>855</v>
      </c>
      <c r="C24" s="595" t="s">
        <v>843</v>
      </c>
      <c r="D24" s="630">
        <v>714958</v>
      </c>
      <c r="E24" s="630">
        <v>27082</v>
      </c>
      <c r="F24" s="630">
        <v>8021</v>
      </c>
      <c r="G24" s="630">
        <v>734019</v>
      </c>
      <c r="H24" s="630">
        <v>75000</v>
      </c>
      <c r="I24" s="630">
        <v>250000</v>
      </c>
      <c r="J24" s="630">
        <v>559019</v>
      </c>
      <c r="K24" s="580" t="s">
        <v>856</v>
      </c>
      <c r="L24" s="610"/>
      <c r="M24" s="611"/>
    </row>
    <row r="25" spans="1:13" x14ac:dyDescent="0.35">
      <c r="B25" s="580" t="s">
        <v>2260</v>
      </c>
      <c r="C25" s="595" t="s">
        <v>843</v>
      </c>
      <c r="D25" s="630"/>
      <c r="E25" s="630"/>
      <c r="F25" s="630"/>
      <c r="G25" s="630"/>
      <c r="H25" s="630">
        <v>3000</v>
      </c>
      <c r="I25" s="630">
        <v>0</v>
      </c>
      <c r="J25" s="630">
        <v>3000</v>
      </c>
      <c r="K25" s="580" t="s">
        <v>2264</v>
      </c>
      <c r="L25" s="610"/>
      <c r="M25" s="611"/>
    </row>
    <row r="26" spans="1:13" x14ac:dyDescent="0.35">
      <c r="B26" s="580" t="s">
        <v>857</v>
      </c>
      <c r="C26" s="595" t="s">
        <v>843</v>
      </c>
      <c r="D26" s="568">
        <v>16565.43</v>
      </c>
      <c r="E26" s="568">
        <v>0</v>
      </c>
      <c r="F26" s="568">
        <v>0</v>
      </c>
      <c r="G26" s="568">
        <v>16565.43</v>
      </c>
      <c r="H26" s="568">
        <v>0</v>
      </c>
      <c r="I26" s="568">
        <v>0</v>
      </c>
      <c r="J26" s="568">
        <v>16565.43</v>
      </c>
      <c r="L26" s="610"/>
      <c r="M26" s="611"/>
    </row>
    <row r="27" spans="1:13" x14ac:dyDescent="0.35">
      <c r="B27" s="580" t="s">
        <v>858</v>
      </c>
      <c r="C27" s="595" t="s">
        <v>843</v>
      </c>
      <c r="D27" s="568">
        <v>18498.62</v>
      </c>
      <c r="E27" s="568">
        <v>0</v>
      </c>
      <c r="F27" s="568">
        <v>0</v>
      </c>
      <c r="G27" s="568">
        <v>18498.62</v>
      </c>
      <c r="H27" s="568">
        <v>0</v>
      </c>
      <c r="I27" s="568">
        <v>5000</v>
      </c>
      <c r="J27" s="568">
        <v>13498.619999999999</v>
      </c>
      <c r="K27" s="580" t="s">
        <v>2269</v>
      </c>
    </row>
    <row r="28" spans="1:13" x14ac:dyDescent="0.35">
      <c r="B28" s="580" t="s">
        <v>859</v>
      </c>
      <c r="C28" s="595" t="s">
        <v>843</v>
      </c>
      <c r="D28" s="568">
        <v>30949</v>
      </c>
      <c r="E28" s="630">
        <v>57068</v>
      </c>
      <c r="F28" s="568">
        <v>14104</v>
      </c>
      <c r="G28" s="568">
        <v>73913</v>
      </c>
      <c r="H28" s="568">
        <v>0</v>
      </c>
      <c r="I28" s="568">
        <v>0</v>
      </c>
      <c r="J28" s="568">
        <v>73913</v>
      </c>
      <c r="K28" s="580" t="s">
        <v>860</v>
      </c>
    </row>
    <row r="29" spans="1:13" x14ac:dyDescent="0.35">
      <c r="C29" s="595"/>
      <c r="D29" s="568"/>
      <c r="E29" s="568"/>
      <c r="F29" s="568"/>
      <c r="G29" s="568"/>
      <c r="H29" s="568"/>
      <c r="I29" s="568"/>
      <c r="J29" s="568"/>
    </row>
    <row r="30" spans="1:13" x14ac:dyDescent="0.35">
      <c r="B30" s="580" t="s">
        <v>861</v>
      </c>
      <c r="C30" s="595" t="s">
        <v>833</v>
      </c>
      <c r="D30" s="568">
        <v>14011</v>
      </c>
      <c r="E30" s="568">
        <v>0</v>
      </c>
      <c r="F30" s="568">
        <v>20</v>
      </c>
      <c r="G30" s="568">
        <v>13991</v>
      </c>
      <c r="H30" s="568">
        <v>0</v>
      </c>
      <c r="I30" s="568">
        <v>20</v>
      </c>
      <c r="J30" s="568">
        <v>13971</v>
      </c>
      <c r="K30" s="580" t="s">
        <v>862</v>
      </c>
    </row>
    <row r="31" spans="1:13" s="581" customFormat="1" x14ac:dyDescent="0.35">
      <c r="B31" s="581" t="s">
        <v>863</v>
      </c>
      <c r="C31" s="597"/>
      <c r="D31" s="596">
        <f t="shared" ref="D31:J31" si="0">SUM(D5:D30)</f>
        <v>1605062.05</v>
      </c>
      <c r="E31" s="596">
        <v>447481</v>
      </c>
      <c r="F31" s="596">
        <v>476039.43</v>
      </c>
      <c r="G31" s="596">
        <v>1576503.62</v>
      </c>
      <c r="H31" s="596">
        <v>334500</v>
      </c>
      <c r="I31" s="596">
        <v>825020</v>
      </c>
      <c r="J31" s="596">
        <v>1085983.6200000001</v>
      </c>
    </row>
    <row r="32" spans="1:13" s="581" customFormat="1" ht="6" customHeight="1" x14ac:dyDescent="0.35">
      <c r="C32" s="597"/>
      <c r="D32" s="596"/>
      <c r="E32" s="596"/>
      <c r="F32" s="596"/>
      <c r="G32" s="596"/>
      <c r="H32" s="596"/>
      <c r="I32" s="596"/>
      <c r="J32" s="596"/>
    </row>
    <row r="33" spans="2:14" x14ac:dyDescent="0.35">
      <c r="B33" s="580" t="s">
        <v>59</v>
      </c>
      <c r="C33" s="595" t="s">
        <v>843</v>
      </c>
      <c r="D33" s="568">
        <v>157068</v>
      </c>
      <c r="E33" s="568">
        <v>0</v>
      </c>
      <c r="F33" s="568">
        <v>57068</v>
      </c>
      <c r="G33" s="568">
        <v>100000</v>
      </c>
      <c r="H33" s="568">
        <v>0</v>
      </c>
      <c r="I33" s="568">
        <v>0</v>
      </c>
      <c r="J33" s="568">
        <v>100000</v>
      </c>
      <c r="K33" s="580" t="s">
        <v>864</v>
      </c>
    </row>
    <row r="34" spans="2:14" s="581" customFormat="1" ht="6" customHeight="1" x14ac:dyDescent="0.35">
      <c r="C34" s="597"/>
      <c r="D34" s="596"/>
      <c r="E34" s="596"/>
      <c r="F34" s="596"/>
      <c r="G34" s="596"/>
      <c r="H34" s="596"/>
      <c r="I34" s="596"/>
      <c r="J34" s="596"/>
    </row>
    <row r="35" spans="2:14" x14ac:dyDescent="0.35">
      <c r="B35" s="581" t="s">
        <v>865</v>
      </c>
      <c r="D35" s="596">
        <f t="shared" ref="D35:J35" si="1">+D33+D31</f>
        <v>1762130.05</v>
      </c>
      <c r="E35" s="596">
        <v>447481</v>
      </c>
      <c r="F35" s="596">
        <v>533107.42999999993</v>
      </c>
      <c r="G35" s="596">
        <v>1676503.62</v>
      </c>
      <c r="H35" s="596">
        <v>334500</v>
      </c>
      <c r="I35" s="596">
        <v>825020</v>
      </c>
      <c r="J35" s="596">
        <v>1185983.6200000001</v>
      </c>
    </row>
    <row r="37" spans="2:14" x14ac:dyDescent="0.35">
      <c r="J37" s="608"/>
    </row>
    <row r="38" spans="2:14" x14ac:dyDescent="0.35">
      <c r="G38" s="608"/>
      <c r="J38" s="608"/>
    </row>
    <row r="39" spans="2:14" x14ac:dyDescent="0.35">
      <c r="D39"/>
      <c r="E39" s="18"/>
      <c r="F39" s="18"/>
    </row>
    <row r="40" spans="2:14" x14ac:dyDescent="0.35">
      <c r="D40"/>
      <c r="E40" s="18"/>
      <c r="F40" s="18"/>
      <c r="L40" s="609"/>
      <c r="M40" s="610"/>
      <c r="N40" s="611"/>
    </row>
    <row r="41" spans="2:14" x14ac:dyDescent="0.35">
      <c r="D41"/>
      <c r="E41" s="18"/>
      <c r="F41" s="18"/>
      <c r="L41" s="609"/>
      <c r="M41" s="610"/>
      <c r="N41" s="611"/>
    </row>
    <row r="42" spans="2:14" x14ac:dyDescent="0.35">
      <c r="D42"/>
      <c r="E42" s="18"/>
      <c r="F42" s="18"/>
      <c r="L42" s="609"/>
      <c r="M42" s="610"/>
      <c r="N42" s="611"/>
    </row>
    <row r="43" spans="2:14" x14ac:dyDescent="0.35">
      <c r="D43"/>
      <c r="E43" s="18"/>
      <c r="F43" s="18"/>
      <c r="L43" s="609"/>
      <c r="M43" s="610"/>
      <c r="N43" s="611"/>
    </row>
    <row r="44" spans="2:14" x14ac:dyDescent="0.35">
      <c r="D44"/>
      <c r="E44" s="18"/>
      <c r="F44" s="18"/>
      <c r="L44" s="609"/>
      <c r="M44" s="610"/>
      <c r="N44" s="611"/>
    </row>
    <row r="45" spans="2:14" x14ac:dyDescent="0.35">
      <c r="D45"/>
      <c r="E45" s="18"/>
      <c r="F45" s="18"/>
      <c r="L45" s="609"/>
      <c r="M45" s="610"/>
      <c r="N45" s="611"/>
    </row>
    <row r="46" spans="2:14" x14ac:dyDescent="0.35">
      <c r="D46"/>
      <c r="E46" s="422"/>
      <c r="F46"/>
      <c r="L46" s="609"/>
      <c r="M46" s="610"/>
      <c r="N46" s="611"/>
    </row>
    <row r="47" spans="2:14" x14ac:dyDescent="0.35">
      <c r="D47"/>
      <c r="E47" s="18"/>
      <c r="F47" s="18"/>
      <c r="L47" s="609"/>
      <c r="M47" s="610"/>
      <c r="N47" s="611"/>
    </row>
    <row r="48" spans="2:14" x14ac:dyDescent="0.35">
      <c r="D48"/>
      <c r="E48" s="564"/>
      <c r="F48" s="18"/>
      <c r="L48" s="609"/>
      <c r="M48" s="610"/>
      <c r="N48" s="611"/>
    </row>
    <row r="49" spans="4:14" x14ac:dyDescent="0.35">
      <c r="D49"/>
      <c r="E49" s="564"/>
      <c r="F49" s="18"/>
      <c r="L49" s="609"/>
      <c r="M49" s="610"/>
      <c r="N49" s="611"/>
    </row>
    <row r="50" spans="4:14" x14ac:dyDescent="0.35">
      <c r="D50"/>
      <c r="E50" s="564"/>
      <c r="F50" s="18"/>
      <c r="L50" s="609"/>
      <c r="M50" s="610"/>
      <c r="N50" s="611"/>
    </row>
    <row r="51" spans="4:14" x14ac:dyDescent="0.35">
      <c r="D51"/>
      <c r="E51" s="18"/>
      <c r="F51" s="18"/>
      <c r="L51" s="609"/>
      <c r="M51" s="610"/>
      <c r="N51" s="611"/>
    </row>
    <row r="52" spans="4:14" x14ac:dyDescent="0.35">
      <c r="L52" s="609"/>
      <c r="M52" s="610"/>
      <c r="N52" s="611"/>
    </row>
    <row r="53" spans="4:14" x14ac:dyDescent="0.35">
      <c r="L53" s="609"/>
      <c r="M53" s="610"/>
      <c r="N53" s="611"/>
    </row>
    <row r="54" spans="4:14" x14ac:dyDescent="0.35">
      <c r="L54" s="609"/>
      <c r="M54" s="610"/>
      <c r="N54" s="611"/>
    </row>
    <row r="55" spans="4:14" x14ac:dyDescent="0.35">
      <c r="L55" s="609"/>
      <c r="M55" s="610"/>
      <c r="N55" s="611"/>
    </row>
    <row r="56" spans="4:14" x14ac:dyDescent="0.35">
      <c r="L56" s="609"/>
      <c r="M56" s="610"/>
      <c r="N56" s="611"/>
    </row>
    <row r="57" spans="4:14" x14ac:dyDescent="0.35">
      <c r="L57" s="609"/>
      <c r="M57" s="610"/>
      <c r="N57" s="611"/>
    </row>
    <row r="58" spans="4:14" x14ac:dyDescent="0.35">
      <c r="N58" s="612"/>
    </row>
  </sheetData>
  <phoneticPr fontId="0" type="noConversion"/>
  <printOptions horizontalCentered="1"/>
  <pageMargins left="0" right="0" top="0" bottom="0" header="0" footer="0"/>
  <pageSetup paperSize="9" orientation="landscape" cellComments="asDisplayed" r:id="rId1"/>
  <headerFooter alignWithMargins="0"/>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1" tint="4.9989318521683403E-2"/>
    <pageSetUpPr fitToPage="1"/>
  </sheetPr>
  <dimension ref="A1:G1022"/>
  <sheetViews>
    <sheetView topLeftCell="A805" zoomScale="70" zoomScaleNormal="70" workbookViewId="0">
      <selection activeCell="F824" sqref="F824"/>
    </sheetView>
  </sheetViews>
  <sheetFormatPr defaultColWidth="9.296875" defaultRowHeight="12.5" x14ac:dyDescent="0.25"/>
  <cols>
    <col min="1" max="1" width="15.69921875" style="263" bestFit="1" customWidth="1"/>
    <col min="2" max="2" width="89" style="263" bestFit="1" customWidth="1"/>
    <col min="3" max="3" width="15.5" style="263" bestFit="1" customWidth="1"/>
    <col min="4" max="4" width="43.69921875" style="263" bestFit="1" customWidth="1"/>
    <col min="5" max="5" width="43" style="263" bestFit="1" customWidth="1"/>
    <col min="6" max="6" width="50.19921875" style="263" bestFit="1" customWidth="1"/>
    <col min="7" max="16384" width="9.296875" style="263"/>
  </cols>
  <sheetData>
    <row r="1" spans="1:7" s="287" customFormat="1" ht="13" x14ac:dyDescent="0.3">
      <c r="A1" s="287" t="s">
        <v>716</v>
      </c>
      <c r="B1" s="287" t="s">
        <v>725</v>
      </c>
      <c r="C1" s="287" t="s">
        <v>365</v>
      </c>
      <c r="D1" s="287" t="s">
        <v>366</v>
      </c>
      <c r="E1" s="287" t="s">
        <v>367</v>
      </c>
      <c r="F1" s="287" t="s">
        <v>368</v>
      </c>
    </row>
    <row r="2" spans="1:7" x14ac:dyDescent="0.25">
      <c r="A2" s="263">
        <v>7906</v>
      </c>
      <c r="B2" s="263" t="s">
        <v>868</v>
      </c>
      <c r="C2" s="263" t="s">
        <v>869</v>
      </c>
      <c r="D2" s="263" t="s">
        <v>92</v>
      </c>
      <c r="E2" s="263" t="s">
        <v>870</v>
      </c>
      <c r="F2" s="263" t="s">
        <v>871</v>
      </c>
      <c r="G2" s="263" t="s">
        <v>872</v>
      </c>
    </row>
    <row r="3" spans="1:7" x14ac:dyDescent="0.25">
      <c r="A3" s="263">
        <v>4890099</v>
      </c>
      <c r="B3" s="263" t="s">
        <v>873</v>
      </c>
      <c r="C3" s="263" t="s">
        <v>869</v>
      </c>
      <c r="D3" s="263" t="s">
        <v>874</v>
      </c>
      <c r="E3" s="263" t="s">
        <v>782</v>
      </c>
      <c r="F3" s="263" t="s">
        <v>783</v>
      </c>
    </row>
    <row r="4" spans="1:7" x14ac:dyDescent="0.25">
      <c r="A4" s="263">
        <v>4890199</v>
      </c>
      <c r="B4" s="263" t="s">
        <v>875</v>
      </c>
      <c r="C4" s="263" t="s">
        <v>869</v>
      </c>
      <c r="D4" s="263" t="s">
        <v>874</v>
      </c>
      <c r="E4" s="263" t="s">
        <v>782</v>
      </c>
      <c r="F4" s="263" t="s">
        <v>784</v>
      </c>
    </row>
    <row r="5" spans="1:7" x14ac:dyDescent="0.25">
      <c r="A5" s="263">
        <v>14150260</v>
      </c>
      <c r="B5" s="263" t="s">
        <v>876</v>
      </c>
      <c r="C5" s="263" t="s">
        <v>869</v>
      </c>
      <c r="D5" s="263" t="s">
        <v>43</v>
      </c>
      <c r="E5" s="263" t="s">
        <v>795</v>
      </c>
      <c r="F5" s="263" t="s">
        <v>877</v>
      </c>
    </row>
    <row r="6" spans="1:7" x14ac:dyDescent="0.25">
      <c r="A6" s="263">
        <v>14150261</v>
      </c>
      <c r="B6" s="263" t="s">
        <v>878</v>
      </c>
      <c r="C6" s="263" t="s">
        <v>869</v>
      </c>
      <c r="D6" s="263" t="s">
        <v>43</v>
      </c>
      <c r="E6" s="263" t="s">
        <v>795</v>
      </c>
      <c r="F6" s="263" t="s">
        <v>877</v>
      </c>
    </row>
    <row r="7" spans="1:7" x14ac:dyDescent="0.25">
      <c r="A7" s="263">
        <v>14150262</v>
      </c>
      <c r="B7" s="263" t="s">
        <v>879</v>
      </c>
      <c r="C7" s="263" t="s">
        <v>869</v>
      </c>
      <c r="D7" s="263" t="s">
        <v>43</v>
      </c>
      <c r="E7" s="263" t="s">
        <v>795</v>
      </c>
      <c r="F7" s="263" t="s">
        <v>877</v>
      </c>
    </row>
    <row r="8" spans="1:7" x14ac:dyDescent="0.25">
      <c r="A8" s="263">
        <v>14150263</v>
      </c>
      <c r="B8" s="263" t="s">
        <v>880</v>
      </c>
      <c r="C8" s="263" t="s">
        <v>869</v>
      </c>
      <c r="D8" s="263" t="s">
        <v>43</v>
      </c>
      <c r="E8" s="263" t="s">
        <v>795</v>
      </c>
      <c r="F8" s="263" t="s">
        <v>877</v>
      </c>
    </row>
    <row r="9" spans="1:7" x14ac:dyDescent="0.25">
      <c r="A9" s="263">
        <v>14150264</v>
      </c>
      <c r="B9" s="263" t="s">
        <v>881</v>
      </c>
      <c r="C9" s="263" t="s">
        <v>869</v>
      </c>
      <c r="D9" s="263" t="s">
        <v>43</v>
      </c>
      <c r="E9" s="263" t="s">
        <v>795</v>
      </c>
      <c r="F9" s="263" t="s">
        <v>877</v>
      </c>
    </row>
    <row r="10" spans="1:7" x14ac:dyDescent="0.25">
      <c r="A10" s="263">
        <v>14150265</v>
      </c>
      <c r="B10" s="263" t="s">
        <v>882</v>
      </c>
      <c r="C10" s="263" t="s">
        <v>869</v>
      </c>
      <c r="D10" s="263" t="s">
        <v>43</v>
      </c>
      <c r="E10" s="263" t="s">
        <v>795</v>
      </c>
      <c r="F10" s="263" t="s">
        <v>877</v>
      </c>
    </row>
    <row r="11" spans="1:7" x14ac:dyDescent="0.25">
      <c r="A11" s="263">
        <v>14400161</v>
      </c>
      <c r="B11" s="263" t="s">
        <v>883</v>
      </c>
      <c r="C11" s="263" t="s">
        <v>869</v>
      </c>
      <c r="D11" s="263" t="s">
        <v>43</v>
      </c>
      <c r="E11" s="263" t="s">
        <v>795</v>
      </c>
      <c r="F11" s="263" t="s">
        <v>884</v>
      </c>
    </row>
    <row r="12" spans="1:7" x14ac:dyDescent="0.25">
      <c r="A12" s="263">
        <v>17000199</v>
      </c>
      <c r="B12" s="263" t="s">
        <v>885</v>
      </c>
      <c r="C12" s="263" t="s">
        <v>869</v>
      </c>
      <c r="D12" s="263" t="s">
        <v>43</v>
      </c>
      <c r="E12" s="263" t="s">
        <v>53</v>
      </c>
      <c r="F12" s="263" t="s">
        <v>886</v>
      </c>
    </row>
    <row r="13" spans="1:7" x14ac:dyDescent="0.25">
      <c r="A13" s="263">
        <v>17020199</v>
      </c>
      <c r="B13" s="263" t="s">
        <v>887</v>
      </c>
      <c r="C13" s="263" t="s">
        <v>869</v>
      </c>
      <c r="D13" s="263" t="s">
        <v>43</v>
      </c>
      <c r="E13" s="263" t="s">
        <v>53</v>
      </c>
      <c r="F13" s="263" t="s">
        <v>816</v>
      </c>
    </row>
    <row r="14" spans="1:7" x14ac:dyDescent="0.25">
      <c r="A14" s="263">
        <v>17030199</v>
      </c>
      <c r="B14" s="263" t="s">
        <v>888</v>
      </c>
      <c r="C14" s="263" t="s">
        <v>869</v>
      </c>
      <c r="D14" s="263" t="s">
        <v>43</v>
      </c>
      <c r="E14" s="263" t="s">
        <v>53</v>
      </c>
      <c r="F14" s="263" t="s">
        <v>817</v>
      </c>
    </row>
    <row r="15" spans="1:7" x14ac:dyDescent="0.25">
      <c r="A15" s="263">
        <v>17120160</v>
      </c>
      <c r="B15" s="263" t="s">
        <v>889</v>
      </c>
      <c r="C15" s="263" t="s">
        <v>869</v>
      </c>
      <c r="D15" s="263" t="s">
        <v>43</v>
      </c>
      <c r="E15" s="263" t="s">
        <v>890</v>
      </c>
      <c r="F15" s="263" t="s">
        <v>342</v>
      </c>
    </row>
    <row r="16" spans="1:7" x14ac:dyDescent="0.25">
      <c r="A16" s="263">
        <v>17120161</v>
      </c>
      <c r="B16" s="263" t="s">
        <v>891</v>
      </c>
      <c r="C16" s="263" t="s">
        <v>869</v>
      </c>
      <c r="D16" s="263" t="s">
        <v>43</v>
      </c>
      <c r="E16" s="263" t="s">
        <v>890</v>
      </c>
      <c r="F16" s="263" t="s">
        <v>342</v>
      </c>
    </row>
    <row r="17" spans="1:6" x14ac:dyDescent="0.25">
      <c r="A17" s="263">
        <v>17120162</v>
      </c>
      <c r="B17" s="263" t="s">
        <v>892</v>
      </c>
      <c r="C17" s="263" t="s">
        <v>869</v>
      </c>
      <c r="D17" s="263" t="s">
        <v>43</v>
      </c>
      <c r="E17" s="263" t="s">
        <v>890</v>
      </c>
      <c r="F17" s="263" t="s">
        <v>342</v>
      </c>
    </row>
    <row r="18" spans="1:6" x14ac:dyDescent="0.25">
      <c r="A18" s="263">
        <v>17120163</v>
      </c>
      <c r="B18" s="263" t="s">
        <v>893</v>
      </c>
      <c r="C18" s="263" t="s">
        <v>869</v>
      </c>
      <c r="D18" s="263" t="s">
        <v>43</v>
      </c>
      <c r="E18" s="263" t="s">
        <v>890</v>
      </c>
      <c r="F18" s="263" t="s">
        <v>342</v>
      </c>
    </row>
    <row r="19" spans="1:6" x14ac:dyDescent="0.25">
      <c r="A19" s="263">
        <v>17120165</v>
      </c>
      <c r="B19" s="263" t="s">
        <v>894</v>
      </c>
      <c r="C19" s="263" t="s">
        <v>869</v>
      </c>
      <c r="D19" s="263" t="s">
        <v>43</v>
      </c>
      <c r="E19" s="263" t="s">
        <v>890</v>
      </c>
      <c r="F19" s="263" t="s">
        <v>342</v>
      </c>
    </row>
    <row r="20" spans="1:6" x14ac:dyDescent="0.25">
      <c r="A20" s="263">
        <v>17130160</v>
      </c>
      <c r="B20" s="263" t="s">
        <v>895</v>
      </c>
      <c r="C20" s="263" t="s">
        <v>869</v>
      </c>
      <c r="D20" s="263" t="s">
        <v>43</v>
      </c>
      <c r="E20" s="263" t="s">
        <v>890</v>
      </c>
      <c r="F20" s="263" t="s">
        <v>343</v>
      </c>
    </row>
    <row r="21" spans="1:6" x14ac:dyDescent="0.25">
      <c r="A21" s="263">
        <v>17130162</v>
      </c>
      <c r="B21" s="263" t="s">
        <v>896</v>
      </c>
      <c r="C21" s="263" t="s">
        <v>869</v>
      </c>
      <c r="D21" s="263" t="s">
        <v>43</v>
      </c>
      <c r="E21" s="263" t="s">
        <v>890</v>
      </c>
      <c r="F21" s="263" t="s">
        <v>343</v>
      </c>
    </row>
    <row r="22" spans="1:6" x14ac:dyDescent="0.25">
      <c r="A22" s="263">
        <v>17130165</v>
      </c>
      <c r="B22" s="263" t="s">
        <v>897</v>
      </c>
      <c r="C22" s="263" t="s">
        <v>869</v>
      </c>
      <c r="D22" s="263" t="s">
        <v>43</v>
      </c>
      <c r="E22" s="263" t="s">
        <v>890</v>
      </c>
      <c r="F22" s="263" t="s">
        <v>343</v>
      </c>
    </row>
    <row r="23" spans="1:6" x14ac:dyDescent="0.25">
      <c r="A23" s="263">
        <v>17130199</v>
      </c>
      <c r="B23" s="263" t="s">
        <v>898</v>
      </c>
      <c r="C23" s="263" t="s">
        <v>869</v>
      </c>
      <c r="D23" s="263" t="s">
        <v>43</v>
      </c>
      <c r="E23" s="263" t="s">
        <v>890</v>
      </c>
      <c r="F23" s="263" t="s">
        <v>343</v>
      </c>
    </row>
    <row r="24" spans="1:6" x14ac:dyDescent="0.25">
      <c r="A24" s="263">
        <v>17300199</v>
      </c>
      <c r="B24" s="263" t="s">
        <v>899</v>
      </c>
      <c r="C24" s="263" t="s">
        <v>869</v>
      </c>
      <c r="D24" s="263" t="s">
        <v>43</v>
      </c>
      <c r="E24" s="263" t="s">
        <v>900</v>
      </c>
      <c r="F24" s="263" t="s">
        <v>901</v>
      </c>
    </row>
    <row r="25" spans="1:6" x14ac:dyDescent="0.25">
      <c r="A25" s="263">
        <v>17300299</v>
      </c>
      <c r="B25" s="263" t="s">
        <v>899</v>
      </c>
      <c r="C25" s="263" t="s">
        <v>869</v>
      </c>
      <c r="D25" s="263" t="s">
        <v>43</v>
      </c>
      <c r="E25" s="263" t="s">
        <v>900</v>
      </c>
      <c r="F25" s="263" t="s">
        <v>901</v>
      </c>
    </row>
    <row r="26" spans="1:6" x14ac:dyDescent="0.25">
      <c r="A26" s="263">
        <v>17300399</v>
      </c>
      <c r="B26" s="263" t="s">
        <v>899</v>
      </c>
      <c r="C26" s="263" t="s">
        <v>869</v>
      </c>
      <c r="D26" s="263" t="s">
        <v>43</v>
      </c>
      <c r="E26" s="263" t="s">
        <v>900</v>
      </c>
      <c r="F26" s="263" t="s">
        <v>901</v>
      </c>
    </row>
    <row r="27" spans="1:6" x14ac:dyDescent="0.25">
      <c r="A27" s="263">
        <v>17310199</v>
      </c>
      <c r="B27" s="263" t="s">
        <v>902</v>
      </c>
      <c r="C27" s="263" t="s">
        <v>869</v>
      </c>
      <c r="D27" s="263" t="s">
        <v>43</v>
      </c>
      <c r="E27" s="263" t="s">
        <v>900</v>
      </c>
      <c r="F27" s="263" t="s">
        <v>901</v>
      </c>
    </row>
    <row r="28" spans="1:6" x14ac:dyDescent="0.25">
      <c r="A28" s="263">
        <v>17310299</v>
      </c>
      <c r="B28" s="263" t="s">
        <v>903</v>
      </c>
      <c r="C28" s="263" t="s">
        <v>869</v>
      </c>
      <c r="D28" s="263" t="s">
        <v>43</v>
      </c>
      <c r="E28" s="263" t="s">
        <v>900</v>
      </c>
      <c r="F28" s="263" t="s">
        <v>901</v>
      </c>
    </row>
    <row r="29" spans="1:6" x14ac:dyDescent="0.25">
      <c r="A29" s="263">
        <v>17310399</v>
      </c>
      <c r="B29" s="263" t="s">
        <v>904</v>
      </c>
      <c r="C29" s="263" t="s">
        <v>869</v>
      </c>
      <c r="D29" s="263" t="s">
        <v>43</v>
      </c>
      <c r="E29" s="263" t="s">
        <v>900</v>
      </c>
      <c r="F29" s="263" t="s">
        <v>901</v>
      </c>
    </row>
    <row r="30" spans="1:6" x14ac:dyDescent="0.25">
      <c r="A30" s="263">
        <v>17320199</v>
      </c>
      <c r="B30" s="263" t="s">
        <v>905</v>
      </c>
      <c r="C30" s="263" t="s">
        <v>869</v>
      </c>
      <c r="D30" s="263" t="s">
        <v>43</v>
      </c>
      <c r="E30" s="263" t="s">
        <v>900</v>
      </c>
      <c r="F30" s="263" t="s">
        <v>906</v>
      </c>
    </row>
    <row r="31" spans="1:6" x14ac:dyDescent="0.25">
      <c r="A31" s="263">
        <v>17320299</v>
      </c>
      <c r="B31" s="263" t="s">
        <v>907</v>
      </c>
      <c r="C31" s="263" t="s">
        <v>869</v>
      </c>
      <c r="D31" s="263" t="s">
        <v>43</v>
      </c>
      <c r="E31" s="263" t="s">
        <v>900</v>
      </c>
      <c r="F31" s="263" t="s">
        <v>906</v>
      </c>
    </row>
    <row r="32" spans="1:6" x14ac:dyDescent="0.25">
      <c r="A32" s="263">
        <v>17320399</v>
      </c>
      <c r="B32" s="263" t="s">
        <v>908</v>
      </c>
      <c r="C32" s="263" t="s">
        <v>869</v>
      </c>
      <c r="D32" s="263" t="s">
        <v>43</v>
      </c>
      <c r="E32" s="263" t="s">
        <v>900</v>
      </c>
      <c r="F32" s="263" t="s">
        <v>906</v>
      </c>
    </row>
    <row r="33" spans="1:6" x14ac:dyDescent="0.25">
      <c r="A33" s="263">
        <v>17330199</v>
      </c>
      <c r="B33" s="263" t="s">
        <v>909</v>
      </c>
      <c r="C33" s="263" t="s">
        <v>869</v>
      </c>
      <c r="D33" s="263" t="s">
        <v>910</v>
      </c>
      <c r="E33" s="263" t="s">
        <v>900</v>
      </c>
      <c r="F33" s="263" t="s">
        <v>906</v>
      </c>
    </row>
    <row r="34" spans="1:6" x14ac:dyDescent="0.25">
      <c r="A34" s="263">
        <v>17330299</v>
      </c>
      <c r="B34" s="263" t="s">
        <v>911</v>
      </c>
      <c r="C34" s="263" t="s">
        <v>869</v>
      </c>
      <c r="D34" s="263" t="s">
        <v>910</v>
      </c>
      <c r="E34" s="263" t="s">
        <v>900</v>
      </c>
      <c r="F34" s="263" t="s">
        <v>906</v>
      </c>
    </row>
    <row r="35" spans="1:6" x14ac:dyDescent="0.25">
      <c r="A35" s="263">
        <v>17330399</v>
      </c>
      <c r="B35" s="263" t="s">
        <v>912</v>
      </c>
      <c r="C35" s="263" t="s">
        <v>869</v>
      </c>
      <c r="D35" s="263" t="s">
        <v>910</v>
      </c>
      <c r="E35" s="263" t="s">
        <v>900</v>
      </c>
      <c r="F35" s="263" t="s">
        <v>906</v>
      </c>
    </row>
    <row r="36" spans="1:6" x14ac:dyDescent="0.25">
      <c r="A36" s="263">
        <v>17360199</v>
      </c>
      <c r="B36" s="263" t="s">
        <v>913</v>
      </c>
      <c r="C36" s="263" t="s">
        <v>869</v>
      </c>
      <c r="D36" s="263" t="s">
        <v>43</v>
      </c>
      <c r="E36" s="263" t="s">
        <v>900</v>
      </c>
      <c r="F36" s="263" t="s">
        <v>901</v>
      </c>
    </row>
    <row r="37" spans="1:6" x14ac:dyDescent="0.25">
      <c r="A37" s="263">
        <v>17360299</v>
      </c>
      <c r="B37" s="263" t="s">
        <v>914</v>
      </c>
      <c r="C37" s="263" t="s">
        <v>869</v>
      </c>
      <c r="D37" s="263" t="s">
        <v>910</v>
      </c>
      <c r="E37" s="263" t="s">
        <v>900</v>
      </c>
      <c r="F37" s="263" t="s">
        <v>915</v>
      </c>
    </row>
    <row r="38" spans="1:6" x14ac:dyDescent="0.25">
      <c r="A38" s="263">
        <v>17360399</v>
      </c>
      <c r="B38" s="263" t="s">
        <v>916</v>
      </c>
      <c r="C38" s="263" t="s">
        <v>869</v>
      </c>
      <c r="D38" s="263" t="s">
        <v>43</v>
      </c>
      <c r="E38" s="263" t="s">
        <v>900</v>
      </c>
      <c r="F38" s="263" t="s">
        <v>901</v>
      </c>
    </row>
    <row r="39" spans="1:6" x14ac:dyDescent="0.25">
      <c r="A39" s="263">
        <v>17370199</v>
      </c>
      <c r="B39" s="263" t="s">
        <v>917</v>
      </c>
      <c r="C39" s="263" t="s">
        <v>869</v>
      </c>
      <c r="D39" s="263" t="s">
        <v>43</v>
      </c>
      <c r="E39" s="263" t="s">
        <v>900</v>
      </c>
      <c r="F39" s="263" t="s">
        <v>901</v>
      </c>
    </row>
    <row r="40" spans="1:6" x14ac:dyDescent="0.25">
      <c r="A40" s="263">
        <v>17370299</v>
      </c>
      <c r="B40" s="263" t="s">
        <v>918</v>
      </c>
      <c r="C40" s="263" t="s">
        <v>869</v>
      </c>
      <c r="D40" s="263" t="s">
        <v>43</v>
      </c>
      <c r="E40" s="263" t="s">
        <v>900</v>
      </c>
      <c r="F40" s="263" t="s">
        <v>901</v>
      </c>
    </row>
    <row r="41" spans="1:6" x14ac:dyDescent="0.25">
      <c r="A41" s="263">
        <v>17370399</v>
      </c>
      <c r="B41" s="263" t="s">
        <v>919</v>
      </c>
      <c r="C41" s="263" t="s">
        <v>869</v>
      </c>
      <c r="D41" s="263" t="s">
        <v>43</v>
      </c>
      <c r="E41" s="263" t="s">
        <v>900</v>
      </c>
      <c r="F41" s="263" t="s">
        <v>901</v>
      </c>
    </row>
    <row r="42" spans="1:6" x14ac:dyDescent="0.25">
      <c r="A42" s="263">
        <v>17420160</v>
      </c>
      <c r="B42" s="263" t="s">
        <v>920</v>
      </c>
      <c r="C42" s="263" t="s">
        <v>869</v>
      </c>
      <c r="D42" s="263" t="s">
        <v>43</v>
      </c>
      <c r="E42" s="263" t="s">
        <v>921</v>
      </c>
      <c r="F42" s="263" t="s">
        <v>351</v>
      </c>
    </row>
    <row r="43" spans="1:6" x14ac:dyDescent="0.25">
      <c r="A43" s="263">
        <v>17420161</v>
      </c>
      <c r="B43" s="263" t="s">
        <v>922</v>
      </c>
      <c r="C43" s="263" t="s">
        <v>869</v>
      </c>
      <c r="D43" s="263" t="s">
        <v>43</v>
      </c>
      <c r="E43" s="263" t="s">
        <v>921</v>
      </c>
      <c r="F43" s="263" t="s">
        <v>351</v>
      </c>
    </row>
    <row r="44" spans="1:6" x14ac:dyDescent="0.25">
      <c r="A44" s="263">
        <v>17420162</v>
      </c>
      <c r="B44" s="263" t="s">
        <v>923</v>
      </c>
      <c r="C44" s="263" t="s">
        <v>869</v>
      </c>
      <c r="D44" s="263" t="s">
        <v>43</v>
      </c>
      <c r="E44" s="263" t="s">
        <v>921</v>
      </c>
      <c r="F44" s="263" t="s">
        <v>351</v>
      </c>
    </row>
    <row r="45" spans="1:6" x14ac:dyDescent="0.25">
      <c r="A45" s="263">
        <v>17420165</v>
      </c>
      <c r="B45" s="263" t="s">
        <v>924</v>
      </c>
      <c r="C45" s="263" t="s">
        <v>869</v>
      </c>
      <c r="D45" s="263" t="s">
        <v>43</v>
      </c>
      <c r="E45" s="263" t="s">
        <v>921</v>
      </c>
      <c r="F45" s="263" t="s">
        <v>351</v>
      </c>
    </row>
    <row r="46" spans="1:6" x14ac:dyDescent="0.25">
      <c r="A46" s="263">
        <v>17420664</v>
      </c>
      <c r="B46" s="263" t="s">
        <v>925</v>
      </c>
      <c r="C46" s="263" t="s">
        <v>869</v>
      </c>
      <c r="D46" s="263" t="s">
        <v>43</v>
      </c>
      <c r="E46" s="263" t="s">
        <v>921</v>
      </c>
      <c r="F46" s="263" t="s">
        <v>351</v>
      </c>
    </row>
    <row r="47" spans="1:6" x14ac:dyDescent="0.25">
      <c r="A47" s="263">
        <v>17421060</v>
      </c>
      <c r="B47" s="263" t="s">
        <v>926</v>
      </c>
      <c r="C47" s="263" t="s">
        <v>869</v>
      </c>
      <c r="D47" s="263" t="s">
        <v>43</v>
      </c>
      <c r="E47" s="263" t="s">
        <v>921</v>
      </c>
      <c r="F47" s="263" t="s">
        <v>351</v>
      </c>
    </row>
    <row r="48" spans="1:6" x14ac:dyDescent="0.25">
      <c r="A48" s="263">
        <v>17421063</v>
      </c>
      <c r="B48" s="263" t="s">
        <v>927</v>
      </c>
      <c r="C48" s="263" t="s">
        <v>869</v>
      </c>
      <c r="D48" s="263" t="s">
        <v>43</v>
      </c>
      <c r="E48" s="263" t="s">
        <v>921</v>
      </c>
      <c r="F48" s="263" t="s">
        <v>351</v>
      </c>
    </row>
    <row r="49" spans="1:6" x14ac:dyDescent="0.25">
      <c r="A49" s="263">
        <v>17421460</v>
      </c>
      <c r="B49" s="263" t="s">
        <v>928</v>
      </c>
      <c r="C49" s="263" t="s">
        <v>869</v>
      </c>
      <c r="D49" s="263" t="s">
        <v>43</v>
      </c>
      <c r="E49" s="263" t="s">
        <v>921</v>
      </c>
      <c r="F49" s="263" t="s">
        <v>351</v>
      </c>
    </row>
    <row r="50" spans="1:6" x14ac:dyDescent="0.25">
      <c r="A50" s="263">
        <v>17421461</v>
      </c>
      <c r="B50" s="263" t="s">
        <v>929</v>
      </c>
      <c r="C50" s="263" t="s">
        <v>869</v>
      </c>
      <c r="D50" s="263" t="s">
        <v>43</v>
      </c>
      <c r="E50" s="263" t="s">
        <v>921</v>
      </c>
      <c r="F50" s="263" t="s">
        <v>351</v>
      </c>
    </row>
    <row r="51" spans="1:6" x14ac:dyDescent="0.25">
      <c r="A51" s="263">
        <v>17421462</v>
      </c>
      <c r="B51" s="263" t="s">
        <v>930</v>
      </c>
      <c r="C51" s="263" t="s">
        <v>869</v>
      </c>
      <c r="D51" s="263" t="s">
        <v>43</v>
      </c>
      <c r="E51" s="263" t="s">
        <v>921</v>
      </c>
      <c r="F51" s="263" t="s">
        <v>351</v>
      </c>
    </row>
    <row r="52" spans="1:6" x14ac:dyDescent="0.25">
      <c r="A52" s="263">
        <v>17421463</v>
      </c>
      <c r="B52" s="263" t="s">
        <v>931</v>
      </c>
      <c r="C52" s="263" t="s">
        <v>869</v>
      </c>
      <c r="D52" s="263" t="s">
        <v>43</v>
      </c>
      <c r="E52" s="263" t="s">
        <v>921</v>
      </c>
      <c r="F52" s="263" t="s">
        <v>351</v>
      </c>
    </row>
    <row r="53" spans="1:6" x14ac:dyDescent="0.25">
      <c r="A53" s="263">
        <v>17421464</v>
      </c>
      <c r="B53" s="263" t="s">
        <v>932</v>
      </c>
      <c r="C53" s="263" t="s">
        <v>869</v>
      </c>
      <c r="D53" s="263" t="s">
        <v>43</v>
      </c>
      <c r="E53" s="263" t="s">
        <v>921</v>
      </c>
      <c r="F53" s="263" t="s">
        <v>351</v>
      </c>
    </row>
    <row r="54" spans="1:6" x14ac:dyDescent="0.25">
      <c r="A54" s="263">
        <v>17421465</v>
      </c>
      <c r="B54" s="263" t="s">
        <v>933</v>
      </c>
      <c r="C54" s="263" t="s">
        <v>869</v>
      </c>
      <c r="D54" s="263" t="s">
        <v>43</v>
      </c>
      <c r="E54" s="263" t="s">
        <v>921</v>
      </c>
      <c r="F54" s="263" t="s">
        <v>351</v>
      </c>
    </row>
    <row r="55" spans="1:6" x14ac:dyDescent="0.25">
      <c r="A55" s="263">
        <v>17421499</v>
      </c>
      <c r="B55" s="263" t="s">
        <v>934</v>
      </c>
      <c r="C55" s="263" t="s">
        <v>869</v>
      </c>
      <c r="D55" s="263" t="s">
        <v>43</v>
      </c>
      <c r="E55" s="263" t="s">
        <v>921</v>
      </c>
      <c r="F55" s="263" t="s">
        <v>351</v>
      </c>
    </row>
    <row r="56" spans="1:6" x14ac:dyDescent="0.25">
      <c r="A56" s="263">
        <v>17440160</v>
      </c>
      <c r="B56" s="683" t="s">
        <v>935</v>
      </c>
      <c r="C56" s="263" t="s">
        <v>869</v>
      </c>
      <c r="D56" s="263" t="s">
        <v>43</v>
      </c>
      <c r="E56" s="263" t="s">
        <v>921</v>
      </c>
      <c r="F56" s="263" t="s">
        <v>351</v>
      </c>
    </row>
    <row r="57" spans="1:6" x14ac:dyDescent="0.25">
      <c r="A57" s="263">
        <v>17440165</v>
      </c>
      <c r="B57" s="263" t="s">
        <v>936</v>
      </c>
      <c r="C57" s="263" t="s">
        <v>869</v>
      </c>
      <c r="D57" s="263" t="s">
        <v>43</v>
      </c>
      <c r="E57" s="263" t="s">
        <v>921</v>
      </c>
      <c r="F57" s="263" t="s">
        <v>351</v>
      </c>
    </row>
    <row r="58" spans="1:6" x14ac:dyDescent="0.25">
      <c r="A58" s="263">
        <v>17440199</v>
      </c>
      <c r="B58" s="263" t="s">
        <v>937</v>
      </c>
      <c r="C58" s="263" t="s">
        <v>869</v>
      </c>
      <c r="D58" s="263" t="s">
        <v>43</v>
      </c>
      <c r="E58" s="263" t="s">
        <v>921</v>
      </c>
      <c r="F58" s="263" t="s">
        <v>351</v>
      </c>
    </row>
    <row r="59" spans="1:6" x14ac:dyDescent="0.25">
      <c r="A59" s="263">
        <v>17440360</v>
      </c>
      <c r="B59" s="263" t="s">
        <v>938</v>
      </c>
      <c r="C59" s="263" t="s">
        <v>869</v>
      </c>
      <c r="D59" s="263" t="s">
        <v>43</v>
      </c>
      <c r="E59" s="263" t="s">
        <v>921</v>
      </c>
      <c r="F59" s="263" t="s">
        <v>939</v>
      </c>
    </row>
    <row r="60" spans="1:6" x14ac:dyDescent="0.25">
      <c r="A60" s="263">
        <v>17440362</v>
      </c>
      <c r="B60" s="263" t="s">
        <v>940</v>
      </c>
      <c r="C60" s="263" t="s">
        <v>869</v>
      </c>
      <c r="D60" s="263" t="s">
        <v>43</v>
      </c>
      <c r="E60" s="263" t="s">
        <v>921</v>
      </c>
      <c r="F60" s="263" t="s">
        <v>939</v>
      </c>
    </row>
    <row r="61" spans="1:6" x14ac:dyDescent="0.25">
      <c r="A61" s="263">
        <v>17440363</v>
      </c>
      <c r="B61" s="263" t="s">
        <v>941</v>
      </c>
      <c r="C61" s="263" t="s">
        <v>869</v>
      </c>
      <c r="D61" s="263" t="s">
        <v>43</v>
      </c>
      <c r="E61" s="263" t="s">
        <v>921</v>
      </c>
      <c r="F61" s="263" t="s">
        <v>939</v>
      </c>
    </row>
    <row r="62" spans="1:6" x14ac:dyDescent="0.25">
      <c r="A62" s="263">
        <v>17440364</v>
      </c>
      <c r="B62" s="263" t="s">
        <v>942</v>
      </c>
      <c r="C62" s="263" t="s">
        <v>869</v>
      </c>
      <c r="D62" s="263" t="s">
        <v>43</v>
      </c>
      <c r="E62" s="263" t="s">
        <v>921</v>
      </c>
      <c r="F62" s="263" t="s">
        <v>939</v>
      </c>
    </row>
    <row r="63" spans="1:6" x14ac:dyDescent="0.25">
      <c r="A63" s="263">
        <v>17440365</v>
      </c>
      <c r="B63" s="263" t="s">
        <v>943</v>
      </c>
      <c r="C63" s="263" t="s">
        <v>869</v>
      </c>
      <c r="D63" s="263" t="s">
        <v>43</v>
      </c>
      <c r="E63" s="263" t="s">
        <v>921</v>
      </c>
      <c r="F63" s="263" t="s">
        <v>939</v>
      </c>
    </row>
    <row r="64" spans="1:6" x14ac:dyDescent="0.25">
      <c r="A64" s="263">
        <v>17440399</v>
      </c>
      <c r="B64" s="263" t="s">
        <v>393</v>
      </c>
      <c r="C64" s="263" t="s">
        <v>869</v>
      </c>
      <c r="D64" s="263" t="s">
        <v>43</v>
      </c>
      <c r="E64" s="263" t="s">
        <v>921</v>
      </c>
      <c r="F64" s="263" t="s">
        <v>939</v>
      </c>
    </row>
    <row r="65" spans="1:6" x14ac:dyDescent="0.25">
      <c r="A65" s="263">
        <v>17450160</v>
      </c>
      <c r="B65" s="263" t="s">
        <v>944</v>
      </c>
      <c r="C65" s="263" t="s">
        <v>869</v>
      </c>
      <c r="D65" s="263" t="s">
        <v>43</v>
      </c>
      <c r="E65" s="263" t="s">
        <v>921</v>
      </c>
      <c r="F65" s="263" t="s">
        <v>945</v>
      </c>
    </row>
    <row r="66" spans="1:6" x14ac:dyDescent="0.25">
      <c r="A66" s="263">
        <v>17450164</v>
      </c>
      <c r="B66" s="263" t="s">
        <v>946</v>
      </c>
      <c r="C66" s="263" t="s">
        <v>869</v>
      </c>
      <c r="D66" s="263" t="s">
        <v>43</v>
      </c>
      <c r="E66" s="263" t="s">
        <v>921</v>
      </c>
      <c r="F66" s="263" t="s">
        <v>945</v>
      </c>
    </row>
    <row r="67" spans="1:6" x14ac:dyDescent="0.25">
      <c r="A67" s="263">
        <v>17450165</v>
      </c>
      <c r="B67" s="263" t="s">
        <v>947</v>
      </c>
      <c r="C67" s="263" t="s">
        <v>869</v>
      </c>
      <c r="D67" s="263" t="s">
        <v>43</v>
      </c>
      <c r="E67" s="263" t="s">
        <v>921</v>
      </c>
      <c r="F67" s="263" t="s">
        <v>945</v>
      </c>
    </row>
    <row r="68" spans="1:6" x14ac:dyDescent="0.25">
      <c r="A68" s="263">
        <v>17450199</v>
      </c>
      <c r="B68" s="263" t="s">
        <v>948</v>
      </c>
      <c r="C68" s="263" t="s">
        <v>869</v>
      </c>
      <c r="D68" s="263" t="s">
        <v>43</v>
      </c>
      <c r="E68" s="263" t="s">
        <v>921</v>
      </c>
      <c r="F68" s="263" t="s">
        <v>945</v>
      </c>
    </row>
    <row r="69" spans="1:6" x14ac:dyDescent="0.25">
      <c r="A69" s="263">
        <v>17500199</v>
      </c>
      <c r="B69" s="263" t="s">
        <v>949</v>
      </c>
      <c r="C69" s="263" t="s">
        <v>869</v>
      </c>
      <c r="D69" s="263" t="s">
        <v>43</v>
      </c>
      <c r="E69" s="263" t="s">
        <v>921</v>
      </c>
      <c r="F69" s="263" t="s">
        <v>950</v>
      </c>
    </row>
    <row r="70" spans="1:6" x14ac:dyDescent="0.25">
      <c r="A70" s="263">
        <v>18130199</v>
      </c>
      <c r="B70" s="263" t="s">
        <v>951</v>
      </c>
      <c r="C70" s="263" t="s">
        <v>869</v>
      </c>
      <c r="D70" s="263" t="s">
        <v>43</v>
      </c>
      <c r="E70" s="263" t="s">
        <v>921</v>
      </c>
      <c r="F70" s="263" t="s">
        <v>950</v>
      </c>
    </row>
    <row r="71" spans="1:6" x14ac:dyDescent="0.25">
      <c r="A71" s="263">
        <v>18180199</v>
      </c>
      <c r="B71" s="263" t="s">
        <v>952</v>
      </c>
      <c r="C71" s="263" t="s">
        <v>869</v>
      </c>
      <c r="D71" s="263" t="s">
        <v>43</v>
      </c>
      <c r="E71" s="263" t="s">
        <v>921</v>
      </c>
      <c r="F71" s="263" t="s">
        <v>348</v>
      </c>
    </row>
    <row r="72" spans="1:6" x14ac:dyDescent="0.25">
      <c r="A72" s="263">
        <v>18190101</v>
      </c>
      <c r="B72" s="263" t="s">
        <v>953</v>
      </c>
      <c r="C72" s="263" t="s">
        <v>869</v>
      </c>
      <c r="D72" s="263" t="s">
        <v>43</v>
      </c>
      <c r="E72" s="263" t="s">
        <v>921</v>
      </c>
      <c r="F72" s="263" t="s">
        <v>954</v>
      </c>
    </row>
    <row r="73" spans="1:6" x14ac:dyDescent="0.25">
      <c r="A73" s="263">
        <v>18220163</v>
      </c>
      <c r="B73" s="263" t="s">
        <v>955</v>
      </c>
      <c r="C73" s="263" t="s">
        <v>869</v>
      </c>
      <c r="D73" s="263" t="s">
        <v>43</v>
      </c>
      <c r="E73" s="263" t="s">
        <v>921</v>
      </c>
      <c r="F73" s="263" t="s">
        <v>956</v>
      </c>
    </row>
    <row r="74" spans="1:6" x14ac:dyDescent="0.25">
      <c r="A74" s="263">
        <v>18220199</v>
      </c>
      <c r="B74" s="263" t="s">
        <v>957</v>
      </c>
      <c r="C74" s="263" t="s">
        <v>869</v>
      </c>
      <c r="D74" s="263" t="s">
        <v>43</v>
      </c>
      <c r="E74" s="263" t="s">
        <v>921</v>
      </c>
      <c r="F74" s="263" t="s">
        <v>956</v>
      </c>
    </row>
    <row r="75" spans="1:6" x14ac:dyDescent="0.25">
      <c r="A75" s="263">
        <v>18400199</v>
      </c>
      <c r="B75" s="263" t="s">
        <v>958</v>
      </c>
      <c r="C75" s="263" t="s">
        <v>869</v>
      </c>
      <c r="D75" s="263" t="s">
        <v>43</v>
      </c>
      <c r="E75" s="263" t="s">
        <v>921</v>
      </c>
      <c r="F75" s="263" t="s">
        <v>950</v>
      </c>
    </row>
    <row r="76" spans="1:6" x14ac:dyDescent="0.25">
      <c r="A76" s="263">
        <v>18900199</v>
      </c>
      <c r="B76" s="263" t="s">
        <v>959</v>
      </c>
      <c r="C76" s="263" t="s">
        <v>869</v>
      </c>
      <c r="D76" s="263" t="s">
        <v>43</v>
      </c>
      <c r="E76" s="263" t="s">
        <v>782</v>
      </c>
      <c r="F76" s="263" t="s">
        <v>783</v>
      </c>
    </row>
    <row r="77" spans="1:6" x14ac:dyDescent="0.25">
      <c r="A77" s="263">
        <v>18900299</v>
      </c>
      <c r="B77" s="263" t="s">
        <v>960</v>
      </c>
      <c r="C77" s="263" t="s">
        <v>869</v>
      </c>
      <c r="D77" s="263" t="s">
        <v>43</v>
      </c>
      <c r="E77" s="263" t="s">
        <v>782</v>
      </c>
      <c r="F77" s="263" t="s">
        <v>784</v>
      </c>
    </row>
    <row r="78" spans="1:6" x14ac:dyDescent="0.25">
      <c r="A78" s="263">
        <v>19100199</v>
      </c>
      <c r="B78" s="263" t="s">
        <v>961</v>
      </c>
      <c r="C78" s="263" t="s">
        <v>869</v>
      </c>
      <c r="D78" s="263" t="s">
        <v>43</v>
      </c>
      <c r="E78" s="263" t="s">
        <v>921</v>
      </c>
      <c r="F78" s="263" t="s">
        <v>290</v>
      </c>
    </row>
    <row r="79" spans="1:6" x14ac:dyDescent="0.25">
      <c r="A79" s="263">
        <v>19200199</v>
      </c>
      <c r="B79" s="263" t="s">
        <v>962</v>
      </c>
      <c r="C79" s="263" t="s">
        <v>869</v>
      </c>
      <c r="D79" s="263" t="s">
        <v>43</v>
      </c>
      <c r="E79" s="263" t="s">
        <v>781</v>
      </c>
      <c r="F79" s="263" t="s">
        <v>781</v>
      </c>
    </row>
    <row r="80" spans="1:6" x14ac:dyDescent="0.25">
      <c r="A80" s="263">
        <v>24150552</v>
      </c>
      <c r="B80" s="263" t="s">
        <v>963</v>
      </c>
      <c r="C80" s="263" t="s">
        <v>869</v>
      </c>
      <c r="D80" s="263" t="s">
        <v>964</v>
      </c>
      <c r="E80" s="263" t="s">
        <v>795</v>
      </c>
      <c r="F80" s="263" t="s">
        <v>343</v>
      </c>
    </row>
    <row r="81" spans="1:6" x14ac:dyDescent="0.25">
      <c r="A81" s="263">
        <v>24200102</v>
      </c>
      <c r="B81" s="263" t="s">
        <v>965</v>
      </c>
      <c r="C81" s="263" t="s">
        <v>869</v>
      </c>
      <c r="D81" s="263" t="s">
        <v>964</v>
      </c>
      <c r="E81" s="263" t="s">
        <v>795</v>
      </c>
      <c r="F81" s="263" t="s">
        <v>966</v>
      </c>
    </row>
    <row r="82" spans="1:6" x14ac:dyDescent="0.25">
      <c r="A82" s="263">
        <v>24200103</v>
      </c>
      <c r="B82" s="263" t="s">
        <v>967</v>
      </c>
      <c r="C82" s="263" t="s">
        <v>869</v>
      </c>
      <c r="D82" s="263" t="s">
        <v>964</v>
      </c>
      <c r="E82" s="263" t="s">
        <v>795</v>
      </c>
      <c r="F82" s="263" t="s">
        <v>966</v>
      </c>
    </row>
    <row r="83" spans="1:6" x14ac:dyDescent="0.25">
      <c r="A83" s="263">
        <v>24200104</v>
      </c>
      <c r="B83" s="263" t="s">
        <v>968</v>
      </c>
      <c r="C83" s="263" t="s">
        <v>869</v>
      </c>
      <c r="D83" s="263" t="s">
        <v>964</v>
      </c>
      <c r="E83" s="263" t="s">
        <v>795</v>
      </c>
      <c r="F83" s="263" t="s">
        <v>966</v>
      </c>
    </row>
    <row r="84" spans="1:6" x14ac:dyDescent="0.25">
      <c r="A84" s="263">
        <v>24200105</v>
      </c>
      <c r="B84" s="263" t="s">
        <v>969</v>
      </c>
      <c r="C84" s="263" t="s">
        <v>869</v>
      </c>
      <c r="D84" s="263" t="s">
        <v>964</v>
      </c>
      <c r="E84" s="263" t="s">
        <v>795</v>
      </c>
      <c r="F84" s="263" t="s">
        <v>966</v>
      </c>
    </row>
    <row r="85" spans="1:6" x14ac:dyDescent="0.25">
      <c r="A85" s="263">
        <v>24200106</v>
      </c>
      <c r="B85" s="263" t="s">
        <v>970</v>
      </c>
      <c r="C85" s="263" t="s">
        <v>869</v>
      </c>
      <c r="D85" s="263" t="s">
        <v>964</v>
      </c>
      <c r="E85" s="263" t="s">
        <v>795</v>
      </c>
      <c r="F85" s="263" t="s">
        <v>966</v>
      </c>
    </row>
    <row r="86" spans="1:6" x14ac:dyDescent="0.25">
      <c r="A86" s="263">
        <v>24200107</v>
      </c>
      <c r="B86" s="263" t="s">
        <v>971</v>
      </c>
      <c r="C86" s="263" t="s">
        <v>869</v>
      </c>
      <c r="D86" s="263" t="s">
        <v>964</v>
      </c>
      <c r="E86" s="263" t="s">
        <v>795</v>
      </c>
      <c r="F86" s="263" t="s">
        <v>966</v>
      </c>
    </row>
    <row r="87" spans="1:6" x14ac:dyDescent="0.25">
      <c r="A87" s="263">
        <v>24200299</v>
      </c>
      <c r="B87" s="263" t="s">
        <v>972</v>
      </c>
      <c r="C87" s="263" t="s">
        <v>869</v>
      </c>
      <c r="D87" s="263" t="s">
        <v>964</v>
      </c>
      <c r="E87" s="263" t="s">
        <v>788</v>
      </c>
      <c r="F87" s="263" t="s">
        <v>973</v>
      </c>
    </row>
    <row r="88" spans="1:6" x14ac:dyDescent="0.25">
      <c r="A88" s="263">
        <v>24200302</v>
      </c>
      <c r="B88" s="263" t="s">
        <v>974</v>
      </c>
      <c r="C88" s="263" t="s">
        <v>869</v>
      </c>
      <c r="D88" s="263" t="s">
        <v>964</v>
      </c>
      <c r="E88" s="263" t="s">
        <v>795</v>
      </c>
      <c r="F88" s="263" t="s">
        <v>966</v>
      </c>
    </row>
    <row r="89" spans="1:6" x14ac:dyDescent="0.25">
      <c r="A89" s="263">
        <v>24200304</v>
      </c>
      <c r="B89" s="263" t="s">
        <v>975</v>
      </c>
      <c r="C89" s="263" t="s">
        <v>869</v>
      </c>
      <c r="D89" s="263" t="s">
        <v>964</v>
      </c>
      <c r="E89" s="263" t="s">
        <v>795</v>
      </c>
      <c r="F89" s="263" t="s">
        <v>966</v>
      </c>
    </row>
    <row r="90" spans="1:6" x14ac:dyDescent="0.25">
      <c r="A90" s="263">
        <v>24200306</v>
      </c>
      <c r="B90" s="263" t="s">
        <v>976</v>
      </c>
      <c r="C90" s="263" t="s">
        <v>869</v>
      </c>
      <c r="D90" s="263" t="s">
        <v>964</v>
      </c>
      <c r="E90" s="263" t="s">
        <v>795</v>
      </c>
      <c r="F90" s="263" t="s">
        <v>966</v>
      </c>
    </row>
    <row r="91" spans="1:6" x14ac:dyDescent="0.25">
      <c r="A91" s="263">
        <v>24230499</v>
      </c>
      <c r="B91" s="263" t="s">
        <v>977</v>
      </c>
      <c r="C91" s="263" t="s">
        <v>869</v>
      </c>
      <c r="D91" s="263" t="s">
        <v>964</v>
      </c>
      <c r="E91" s="263" t="s">
        <v>795</v>
      </c>
      <c r="F91" s="263" t="s">
        <v>978</v>
      </c>
    </row>
    <row r="92" spans="1:6" x14ac:dyDescent="0.25">
      <c r="A92" s="263">
        <v>24300102</v>
      </c>
      <c r="B92" s="263" t="s">
        <v>979</v>
      </c>
      <c r="C92" s="263" t="s">
        <v>869</v>
      </c>
      <c r="D92" s="263" t="s">
        <v>964</v>
      </c>
      <c r="E92" s="263" t="s">
        <v>795</v>
      </c>
      <c r="F92" s="263" t="s">
        <v>980</v>
      </c>
    </row>
    <row r="93" spans="1:6" x14ac:dyDescent="0.25">
      <c r="A93" s="263">
        <v>24350199</v>
      </c>
      <c r="B93" s="263" t="s">
        <v>981</v>
      </c>
      <c r="C93" s="263" t="s">
        <v>869</v>
      </c>
      <c r="D93" s="263" t="s">
        <v>964</v>
      </c>
      <c r="E93" s="263" t="s">
        <v>795</v>
      </c>
      <c r="F93" s="263" t="s">
        <v>978</v>
      </c>
    </row>
    <row r="94" spans="1:6" x14ac:dyDescent="0.25">
      <c r="A94" s="263">
        <v>24420299</v>
      </c>
      <c r="B94" s="263" t="s">
        <v>982</v>
      </c>
      <c r="C94" s="263" t="s">
        <v>869</v>
      </c>
      <c r="D94" s="263" t="s">
        <v>964</v>
      </c>
      <c r="E94" s="263" t="s">
        <v>795</v>
      </c>
      <c r="F94" s="263" t="s">
        <v>983</v>
      </c>
    </row>
    <row r="95" spans="1:6" x14ac:dyDescent="0.25">
      <c r="A95" s="263">
        <v>24800199</v>
      </c>
      <c r="B95" s="263" t="s">
        <v>984</v>
      </c>
      <c r="C95" s="263" t="s">
        <v>869</v>
      </c>
      <c r="D95" s="263" t="s">
        <v>964</v>
      </c>
      <c r="E95" s="263" t="s">
        <v>795</v>
      </c>
      <c r="F95" s="263" t="s">
        <v>983</v>
      </c>
    </row>
    <row r="96" spans="1:6" x14ac:dyDescent="0.25">
      <c r="A96" s="263">
        <v>24820199</v>
      </c>
      <c r="B96" s="263" t="s">
        <v>985</v>
      </c>
      <c r="C96" s="263" t="s">
        <v>869</v>
      </c>
      <c r="D96" s="263" t="s">
        <v>964</v>
      </c>
      <c r="E96" s="263" t="s">
        <v>795</v>
      </c>
      <c r="F96" s="263" t="s">
        <v>983</v>
      </c>
    </row>
    <row r="97" spans="1:6" x14ac:dyDescent="0.25">
      <c r="A97" s="263">
        <v>24980199</v>
      </c>
      <c r="B97" s="263" t="s">
        <v>986</v>
      </c>
      <c r="C97" s="263" t="s">
        <v>869</v>
      </c>
      <c r="D97" s="263" t="s">
        <v>964</v>
      </c>
      <c r="E97" s="263" t="s">
        <v>795</v>
      </c>
      <c r="F97" s="263" t="s">
        <v>983</v>
      </c>
    </row>
    <row r="98" spans="1:6" x14ac:dyDescent="0.25">
      <c r="A98" s="263">
        <v>24980299</v>
      </c>
      <c r="B98" s="263" t="s">
        <v>987</v>
      </c>
      <c r="C98" s="263" t="s">
        <v>869</v>
      </c>
      <c r="D98" s="263" t="s">
        <v>964</v>
      </c>
      <c r="E98" s="263" t="s">
        <v>795</v>
      </c>
      <c r="F98" s="263" t="s">
        <v>983</v>
      </c>
    </row>
    <row r="99" spans="1:6" x14ac:dyDescent="0.25">
      <c r="A99" s="263">
        <v>27000199</v>
      </c>
      <c r="B99" s="263" t="s">
        <v>885</v>
      </c>
      <c r="C99" s="263" t="s">
        <v>869</v>
      </c>
      <c r="D99" s="263" t="s">
        <v>964</v>
      </c>
      <c r="E99" s="263" t="s">
        <v>53</v>
      </c>
      <c r="F99" s="263" t="s">
        <v>886</v>
      </c>
    </row>
    <row r="100" spans="1:6" x14ac:dyDescent="0.25">
      <c r="A100" s="263">
        <v>27020199</v>
      </c>
      <c r="B100" s="263" t="s">
        <v>887</v>
      </c>
      <c r="C100" s="263" t="s">
        <v>869</v>
      </c>
      <c r="D100" s="263" t="s">
        <v>964</v>
      </c>
      <c r="E100" s="263" t="s">
        <v>53</v>
      </c>
      <c r="F100" s="263" t="s">
        <v>816</v>
      </c>
    </row>
    <row r="101" spans="1:6" x14ac:dyDescent="0.25">
      <c r="A101" s="263">
        <v>27030199</v>
      </c>
      <c r="B101" s="263" t="s">
        <v>888</v>
      </c>
      <c r="C101" s="263" t="s">
        <v>869</v>
      </c>
      <c r="D101" s="263" t="s">
        <v>964</v>
      </c>
      <c r="E101" s="263" t="s">
        <v>53</v>
      </c>
      <c r="F101" s="263" t="s">
        <v>817</v>
      </c>
    </row>
    <row r="102" spans="1:6" x14ac:dyDescent="0.25">
      <c r="A102" s="263">
        <v>27050199</v>
      </c>
      <c r="B102" s="263" t="s">
        <v>988</v>
      </c>
      <c r="C102" s="263" t="s">
        <v>869</v>
      </c>
      <c r="D102" s="263" t="s">
        <v>964</v>
      </c>
      <c r="E102" s="263" t="s">
        <v>53</v>
      </c>
      <c r="F102" s="263" t="s">
        <v>350</v>
      </c>
    </row>
    <row r="103" spans="1:6" x14ac:dyDescent="0.25">
      <c r="A103" s="263">
        <v>27060199</v>
      </c>
      <c r="B103" s="263" t="s">
        <v>989</v>
      </c>
      <c r="C103" s="263" t="s">
        <v>869</v>
      </c>
      <c r="D103" s="263" t="s">
        <v>964</v>
      </c>
      <c r="E103" s="263" t="s">
        <v>921</v>
      </c>
      <c r="F103" s="263" t="s">
        <v>990</v>
      </c>
    </row>
    <row r="104" spans="1:6" x14ac:dyDescent="0.25">
      <c r="A104" s="263">
        <v>27100199</v>
      </c>
      <c r="B104" s="263" t="s">
        <v>991</v>
      </c>
      <c r="C104" s="263" t="s">
        <v>869</v>
      </c>
      <c r="D104" s="263" t="s">
        <v>964</v>
      </c>
      <c r="E104" s="263" t="s">
        <v>890</v>
      </c>
      <c r="F104" s="263" t="s">
        <v>820</v>
      </c>
    </row>
    <row r="105" spans="1:6" x14ac:dyDescent="0.25">
      <c r="A105" s="263">
        <v>27110199</v>
      </c>
      <c r="B105" s="263" t="s">
        <v>992</v>
      </c>
      <c r="C105" s="263" t="s">
        <v>869</v>
      </c>
      <c r="D105" s="263" t="s">
        <v>964</v>
      </c>
      <c r="E105" s="263" t="s">
        <v>890</v>
      </c>
      <c r="F105" s="263" t="s">
        <v>341</v>
      </c>
    </row>
    <row r="106" spans="1:6" x14ac:dyDescent="0.25">
      <c r="A106" s="263">
        <v>27120199</v>
      </c>
      <c r="B106" s="263" t="s">
        <v>749</v>
      </c>
      <c r="C106" s="263" t="s">
        <v>869</v>
      </c>
      <c r="D106" s="263" t="s">
        <v>964</v>
      </c>
      <c r="E106" s="263" t="s">
        <v>890</v>
      </c>
      <c r="F106" s="263" t="s">
        <v>342</v>
      </c>
    </row>
    <row r="107" spans="1:6" x14ac:dyDescent="0.25">
      <c r="A107" s="263">
        <v>27140199</v>
      </c>
      <c r="B107" s="263" t="s">
        <v>993</v>
      </c>
      <c r="C107" s="263" t="s">
        <v>869</v>
      </c>
      <c r="D107" s="263" t="s">
        <v>964</v>
      </c>
      <c r="E107" s="263" t="s">
        <v>890</v>
      </c>
      <c r="F107" s="263" t="s">
        <v>344</v>
      </c>
    </row>
    <row r="108" spans="1:6" x14ac:dyDescent="0.25">
      <c r="A108" s="263">
        <v>27150102</v>
      </c>
      <c r="B108" s="263" t="s">
        <v>994</v>
      </c>
      <c r="C108" s="263" t="s">
        <v>869</v>
      </c>
      <c r="D108" s="263" t="s">
        <v>964</v>
      </c>
      <c r="E108" s="263" t="s">
        <v>890</v>
      </c>
      <c r="F108" s="263" t="s">
        <v>821</v>
      </c>
    </row>
    <row r="109" spans="1:6" x14ac:dyDescent="0.25">
      <c r="A109" s="263">
        <v>27160102</v>
      </c>
      <c r="B109" s="263" t="s">
        <v>981</v>
      </c>
      <c r="C109" s="263" t="s">
        <v>869</v>
      </c>
      <c r="D109" s="263" t="s">
        <v>964</v>
      </c>
      <c r="E109" s="263" t="s">
        <v>921</v>
      </c>
      <c r="F109" s="263" t="s">
        <v>352</v>
      </c>
    </row>
    <row r="110" spans="1:6" x14ac:dyDescent="0.25">
      <c r="A110" s="263">
        <v>27160199</v>
      </c>
      <c r="B110" s="263" t="s">
        <v>995</v>
      </c>
      <c r="C110" s="263" t="s">
        <v>869</v>
      </c>
      <c r="D110" s="263" t="s">
        <v>964</v>
      </c>
      <c r="E110" s="263" t="s">
        <v>921</v>
      </c>
      <c r="F110" s="263" t="s">
        <v>352</v>
      </c>
    </row>
    <row r="111" spans="1:6" x14ac:dyDescent="0.25">
      <c r="A111" s="263">
        <v>27160302</v>
      </c>
      <c r="B111" s="263" t="s">
        <v>996</v>
      </c>
      <c r="C111" s="263" t="s">
        <v>869</v>
      </c>
      <c r="D111" s="263" t="s">
        <v>964</v>
      </c>
      <c r="E111" s="263" t="s">
        <v>921</v>
      </c>
      <c r="F111" s="263" t="s">
        <v>997</v>
      </c>
    </row>
    <row r="112" spans="1:6" x14ac:dyDescent="0.25">
      <c r="A112" s="263">
        <v>27170102</v>
      </c>
      <c r="B112" s="263" t="s">
        <v>998</v>
      </c>
      <c r="C112" s="263" t="s">
        <v>869</v>
      </c>
      <c r="D112" s="263" t="s">
        <v>964</v>
      </c>
      <c r="E112" s="263" t="s">
        <v>890</v>
      </c>
      <c r="F112" s="263" t="s">
        <v>999</v>
      </c>
    </row>
    <row r="113" spans="1:6" x14ac:dyDescent="0.25">
      <c r="A113" s="263">
        <v>27170103</v>
      </c>
      <c r="B113" s="263" t="s">
        <v>1000</v>
      </c>
      <c r="C113" s="263" t="s">
        <v>869</v>
      </c>
      <c r="D113" s="263" t="s">
        <v>964</v>
      </c>
      <c r="E113" s="263" t="s">
        <v>890</v>
      </c>
      <c r="F113" s="263" t="s">
        <v>999</v>
      </c>
    </row>
    <row r="114" spans="1:6" x14ac:dyDescent="0.25">
      <c r="A114" s="263">
        <v>27170104</v>
      </c>
      <c r="B114" s="263" t="s">
        <v>1001</v>
      </c>
      <c r="C114" s="263" t="s">
        <v>869</v>
      </c>
      <c r="D114" s="263" t="s">
        <v>964</v>
      </c>
      <c r="E114" s="263" t="s">
        <v>890</v>
      </c>
      <c r="F114" s="263" t="s">
        <v>999</v>
      </c>
    </row>
    <row r="115" spans="1:6" x14ac:dyDescent="0.25">
      <c r="A115" s="263">
        <v>27170105</v>
      </c>
      <c r="B115" s="263" t="s">
        <v>1002</v>
      </c>
      <c r="C115" s="263" t="s">
        <v>869</v>
      </c>
      <c r="D115" s="263" t="s">
        <v>964</v>
      </c>
      <c r="E115" s="263" t="s">
        <v>890</v>
      </c>
      <c r="F115" s="263" t="s">
        <v>999</v>
      </c>
    </row>
    <row r="116" spans="1:6" x14ac:dyDescent="0.25">
      <c r="A116" s="263">
        <v>27170106</v>
      </c>
      <c r="B116" s="263" t="s">
        <v>1003</v>
      </c>
      <c r="C116" s="263" t="s">
        <v>869</v>
      </c>
      <c r="D116" s="263" t="s">
        <v>964</v>
      </c>
      <c r="E116" s="263" t="s">
        <v>890</v>
      </c>
      <c r="F116" s="263" t="s">
        <v>999</v>
      </c>
    </row>
    <row r="117" spans="1:6" x14ac:dyDescent="0.25">
      <c r="A117" s="263">
        <v>27170126</v>
      </c>
      <c r="B117" s="263" t="s">
        <v>1004</v>
      </c>
      <c r="C117" s="263" t="s">
        <v>869</v>
      </c>
      <c r="D117" s="263" t="s">
        <v>964</v>
      </c>
      <c r="E117" s="263" t="s">
        <v>890</v>
      </c>
      <c r="F117" s="263" t="s">
        <v>999</v>
      </c>
    </row>
    <row r="118" spans="1:6" x14ac:dyDescent="0.25">
      <c r="A118" s="263">
        <v>27170199</v>
      </c>
      <c r="B118" s="263" t="s">
        <v>1005</v>
      </c>
      <c r="C118" s="263" t="s">
        <v>869</v>
      </c>
      <c r="D118" s="263" t="s">
        <v>964</v>
      </c>
      <c r="E118" s="263" t="s">
        <v>890</v>
      </c>
      <c r="F118" s="263" t="s">
        <v>999</v>
      </c>
    </row>
    <row r="119" spans="1:6" x14ac:dyDescent="0.25">
      <c r="A119" s="263">
        <v>27170299</v>
      </c>
      <c r="B119" s="263" t="s">
        <v>1006</v>
      </c>
      <c r="C119" s="263" t="s">
        <v>869</v>
      </c>
      <c r="D119" s="263" t="s">
        <v>964</v>
      </c>
      <c r="E119" s="263" t="s">
        <v>795</v>
      </c>
      <c r="F119" s="263" t="s">
        <v>983</v>
      </c>
    </row>
    <row r="120" spans="1:6" x14ac:dyDescent="0.25">
      <c r="A120" s="263">
        <v>27180102</v>
      </c>
      <c r="B120" s="263" t="s">
        <v>1007</v>
      </c>
      <c r="C120" s="263" t="s">
        <v>869</v>
      </c>
      <c r="D120" s="263" t="s">
        <v>964</v>
      </c>
      <c r="E120" s="263" t="s">
        <v>890</v>
      </c>
      <c r="F120" s="263" t="s">
        <v>1008</v>
      </c>
    </row>
    <row r="121" spans="1:6" x14ac:dyDescent="0.25">
      <c r="A121" s="263">
        <v>27180103</v>
      </c>
      <c r="B121" s="263" t="s">
        <v>1009</v>
      </c>
      <c r="C121" s="263" t="s">
        <v>869</v>
      </c>
      <c r="D121" s="263" t="s">
        <v>964</v>
      </c>
      <c r="E121" s="263" t="s">
        <v>890</v>
      </c>
      <c r="F121" s="263" t="s">
        <v>1008</v>
      </c>
    </row>
    <row r="122" spans="1:6" x14ac:dyDescent="0.25">
      <c r="A122" s="263">
        <v>27180104</v>
      </c>
      <c r="B122" s="263" t="s">
        <v>1010</v>
      </c>
      <c r="C122" s="263" t="s">
        <v>869</v>
      </c>
      <c r="D122" s="263" t="s">
        <v>964</v>
      </c>
      <c r="E122" s="263" t="s">
        <v>890</v>
      </c>
      <c r="F122" s="263" t="s">
        <v>1008</v>
      </c>
    </row>
    <row r="123" spans="1:6" x14ac:dyDescent="0.25">
      <c r="A123" s="263">
        <v>27180105</v>
      </c>
      <c r="B123" s="263" t="s">
        <v>1011</v>
      </c>
      <c r="C123" s="263" t="s">
        <v>869</v>
      </c>
      <c r="D123" s="263" t="s">
        <v>964</v>
      </c>
      <c r="E123" s="263" t="s">
        <v>890</v>
      </c>
      <c r="F123" s="263" t="s">
        <v>1008</v>
      </c>
    </row>
    <row r="124" spans="1:6" x14ac:dyDescent="0.25">
      <c r="A124" s="263">
        <v>27180106</v>
      </c>
      <c r="B124" s="263" t="s">
        <v>1012</v>
      </c>
      <c r="C124" s="263" t="s">
        <v>869</v>
      </c>
      <c r="D124" s="263" t="s">
        <v>964</v>
      </c>
      <c r="E124" s="263" t="s">
        <v>890</v>
      </c>
      <c r="F124" s="263" t="s">
        <v>1008</v>
      </c>
    </row>
    <row r="125" spans="1:6" x14ac:dyDescent="0.25">
      <c r="A125" s="263">
        <v>27180199</v>
      </c>
      <c r="B125" s="263" t="s">
        <v>1011</v>
      </c>
      <c r="C125" s="263" t="s">
        <v>869</v>
      </c>
      <c r="D125" s="263" t="s">
        <v>964</v>
      </c>
      <c r="E125" s="263" t="s">
        <v>890</v>
      </c>
      <c r="F125" s="263" t="s">
        <v>1008</v>
      </c>
    </row>
    <row r="126" spans="1:6" x14ac:dyDescent="0.25">
      <c r="A126" s="263">
        <v>27190102</v>
      </c>
      <c r="B126" s="263" t="s">
        <v>1013</v>
      </c>
      <c r="C126" s="263" t="s">
        <v>869</v>
      </c>
      <c r="D126" s="263" t="s">
        <v>964</v>
      </c>
      <c r="E126" s="263" t="s">
        <v>890</v>
      </c>
      <c r="F126" s="263" t="s">
        <v>1014</v>
      </c>
    </row>
    <row r="127" spans="1:6" x14ac:dyDescent="0.25">
      <c r="A127" s="263">
        <v>27190103</v>
      </c>
      <c r="B127" s="263" t="s">
        <v>1015</v>
      </c>
      <c r="C127" s="263" t="s">
        <v>869</v>
      </c>
      <c r="D127" s="263" t="s">
        <v>964</v>
      </c>
      <c r="E127" s="263" t="s">
        <v>890</v>
      </c>
      <c r="F127" s="263" t="s">
        <v>1014</v>
      </c>
    </row>
    <row r="128" spans="1:6" x14ac:dyDescent="0.25">
      <c r="A128" s="263">
        <v>27190104</v>
      </c>
      <c r="B128" s="263" t="s">
        <v>1016</v>
      </c>
      <c r="C128" s="263" t="s">
        <v>869</v>
      </c>
      <c r="D128" s="263" t="s">
        <v>964</v>
      </c>
      <c r="E128" s="263" t="s">
        <v>890</v>
      </c>
      <c r="F128" s="263" t="s">
        <v>1014</v>
      </c>
    </row>
    <row r="129" spans="1:6" x14ac:dyDescent="0.25">
      <c r="A129" s="263">
        <v>27190105</v>
      </c>
      <c r="B129" s="263" t="s">
        <v>1017</v>
      </c>
      <c r="C129" s="263" t="s">
        <v>869</v>
      </c>
      <c r="D129" s="263" t="s">
        <v>964</v>
      </c>
      <c r="E129" s="263" t="s">
        <v>890</v>
      </c>
      <c r="F129" s="263" t="s">
        <v>1014</v>
      </c>
    </row>
    <row r="130" spans="1:6" x14ac:dyDescent="0.25">
      <c r="A130" s="263">
        <v>27190106</v>
      </c>
      <c r="B130" s="263" t="s">
        <v>1018</v>
      </c>
      <c r="C130" s="263" t="s">
        <v>869</v>
      </c>
      <c r="D130" s="263" t="s">
        <v>964</v>
      </c>
      <c r="E130" s="263" t="s">
        <v>890</v>
      </c>
      <c r="F130" s="263" t="s">
        <v>1014</v>
      </c>
    </row>
    <row r="131" spans="1:6" x14ac:dyDescent="0.25">
      <c r="A131" s="263">
        <v>27190107</v>
      </c>
      <c r="B131" s="263" t="s">
        <v>1019</v>
      </c>
      <c r="C131" s="263" t="s">
        <v>869</v>
      </c>
      <c r="D131" s="263" t="s">
        <v>964</v>
      </c>
      <c r="E131" s="263" t="s">
        <v>890</v>
      </c>
      <c r="F131" s="263" t="s">
        <v>1014</v>
      </c>
    </row>
    <row r="132" spans="1:6" x14ac:dyDescent="0.25">
      <c r="A132" s="263">
        <v>27190108</v>
      </c>
      <c r="B132" s="263" t="s">
        <v>1020</v>
      </c>
      <c r="C132" s="263" t="s">
        <v>869</v>
      </c>
      <c r="D132" s="263" t="s">
        <v>964</v>
      </c>
      <c r="E132" s="263" t="s">
        <v>890</v>
      </c>
      <c r="F132" s="263" t="s">
        <v>1021</v>
      </c>
    </row>
    <row r="133" spans="1:6" x14ac:dyDescent="0.25">
      <c r="A133" s="263">
        <v>27190109</v>
      </c>
      <c r="B133" s="263" t="s">
        <v>418</v>
      </c>
      <c r="C133" s="263" t="s">
        <v>869</v>
      </c>
      <c r="D133" s="263" t="s">
        <v>964</v>
      </c>
      <c r="E133" s="263" t="s">
        <v>890</v>
      </c>
      <c r="F133" s="263" t="s">
        <v>1021</v>
      </c>
    </row>
    <row r="134" spans="1:6" x14ac:dyDescent="0.25">
      <c r="A134" s="263">
        <v>27190110</v>
      </c>
      <c r="B134" s="263" t="s">
        <v>1022</v>
      </c>
      <c r="C134" s="263" t="s">
        <v>869</v>
      </c>
      <c r="D134" s="263" t="s">
        <v>964</v>
      </c>
      <c r="E134" s="263" t="s">
        <v>890</v>
      </c>
      <c r="F134" s="263" t="s">
        <v>1021</v>
      </c>
    </row>
    <row r="135" spans="1:6" x14ac:dyDescent="0.25">
      <c r="A135" s="263">
        <v>27190199</v>
      </c>
      <c r="B135" s="263" t="s">
        <v>1023</v>
      </c>
      <c r="C135" s="263" t="s">
        <v>869</v>
      </c>
      <c r="D135" s="263" t="s">
        <v>964</v>
      </c>
      <c r="E135" s="263" t="s">
        <v>890</v>
      </c>
      <c r="F135" s="263" t="s">
        <v>1014</v>
      </c>
    </row>
    <row r="136" spans="1:6" x14ac:dyDescent="0.25">
      <c r="A136" s="263">
        <v>27190202</v>
      </c>
      <c r="B136" s="263" t="s">
        <v>1024</v>
      </c>
      <c r="C136" s="263" t="s">
        <v>869</v>
      </c>
      <c r="D136" s="263" t="s">
        <v>964</v>
      </c>
      <c r="E136" s="263" t="s">
        <v>890</v>
      </c>
      <c r="F136" s="263" t="s">
        <v>1014</v>
      </c>
    </row>
    <row r="137" spans="1:6" x14ac:dyDescent="0.25">
      <c r="A137" s="288">
        <v>27190298</v>
      </c>
      <c r="B137" s="288" t="s">
        <v>1025</v>
      </c>
      <c r="C137" s="263" t="s">
        <v>869</v>
      </c>
      <c r="D137" s="263" t="s">
        <v>964</v>
      </c>
      <c r="E137" s="263" t="s">
        <v>890</v>
      </c>
      <c r="F137" s="263" t="s">
        <v>1026</v>
      </c>
    </row>
    <row r="138" spans="1:6" x14ac:dyDescent="0.25">
      <c r="A138" s="263">
        <v>27190299</v>
      </c>
      <c r="B138" s="263" t="s">
        <v>1027</v>
      </c>
      <c r="C138" s="263" t="s">
        <v>869</v>
      </c>
      <c r="D138" s="263" t="s">
        <v>964</v>
      </c>
      <c r="E138" s="263" t="s">
        <v>890</v>
      </c>
      <c r="F138" s="263" t="s">
        <v>1014</v>
      </c>
    </row>
    <row r="139" spans="1:6" x14ac:dyDescent="0.25">
      <c r="A139" s="263">
        <v>27190301</v>
      </c>
      <c r="B139" s="263" t="s">
        <v>1028</v>
      </c>
      <c r="C139" s="263" t="s">
        <v>869</v>
      </c>
      <c r="D139" s="263" t="s">
        <v>964</v>
      </c>
      <c r="E139" s="263" t="s">
        <v>890</v>
      </c>
      <c r="F139" s="263" t="s">
        <v>1029</v>
      </c>
    </row>
    <row r="140" spans="1:6" x14ac:dyDescent="0.25">
      <c r="A140" s="263">
        <v>27190399</v>
      </c>
      <c r="B140" s="263" t="s">
        <v>1030</v>
      </c>
      <c r="C140" s="263" t="s">
        <v>869</v>
      </c>
      <c r="D140" s="263" t="s">
        <v>964</v>
      </c>
      <c r="E140" s="263" t="s">
        <v>890</v>
      </c>
      <c r="F140" s="263" t="s">
        <v>1029</v>
      </c>
    </row>
    <row r="141" spans="1:6" x14ac:dyDescent="0.25">
      <c r="A141" s="263">
        <v>27190402</v>
      </c>
      <c r="B141" s="263" t="s">
        <v>1031</v>
      </c>
      <c r="C141" s="263" t="s">
        <v>869</v>
      </c>
      <c r="D141" s="263" t="s">
        <v>964</v>
      </c>
      <c r="E141" s="263" t="s">
        <v>890</v>
      </c>
      <c r="F141" s="263" t="s">
        <v>1014</v>
      </c>
    </row>
    <row r="142" spans="1:6" x14ac:dyDescent="0.25">
      <c r="A142" s="263">
        <v>27190404</v>
      </c>
      <c r="B142" s="263" t="s">
        <v>1032</v>
      </c>
      <c r="C142" s="263" t="s">
        <v>869</v>
      </c>
      <c r="D142" s="263" t="s">
        <v>964</v>
      </c>
      <c r="E142" s="263" t="s">
        <v>890</v>
      </c>
      <c r="F142" s="263" t="s">
        <v>1014</v>
      </c>
    </row>
    <row r="143" spans="1:6" x14ac:dyDescent="0.25">
      <c r="A143" s="263">
        <v>27190407</v>
      </c>
      <c r="B143" s="263" t="s">
        <v>1033</v>
      </c>
      <c r="C143" s="263" t="s">
        <v>869</v>
      </c>
      <c r="D143" s="263" t="s">
        <v>964</v>
      </c>
      <c r="E143" s="263" t="s">
        <v>890</v>
      </c>
      <c r="F143" s="263" t="s">
        <v>1014</v>
      </c>
    </row>
    <row r="144" spans="1:6" x14ac:dyDescent="0.25">
      <c r="A144" s="263">
        <v>27190499</v>
      </c>
      <c r="B144" s="263" t="s">
        <v>1034</v>
      </c>
      <c r="C144" s="263" t="s">
        <v>869</v>
      </c>
      <c r="D144" s="263" t="s">
        <v>964</v>
      </c>
      <c r="E144" s="263" t="s">
        <v>890</v>
      </c>
      <c r="F144" s="263" t="s">
        <v>1014</v>
      </c>
    </row>
    <row r="145" spans="1:6" x14ac:dyDescent="0.25">
      <c r="A145" s="263">
        <v>27190502</v>
      </c>
      <c r="B145" s="263" t="s">
        <v>1035</v>
      </c>
      <c r="C145" s="263" t="s">
        <v>869</v>
      </c>
      <c r="D145" s="263" t="s">
        <v>964</v>
      </c>
      <c r="E145" s="263" t="s">
        <v>890</v>
      </c>
      <c r="F145" s="263" t="s">
        <v>1014</v>
      </c>
    </row>
    <row r="146" spans="1:6" x14ac:dyDescent="0.25">
      <c r="A146" s="263">
        <v>27190503</v>
      </c>
      <c r="B146" s="263" t="s">
        <v>1036</v>
      </c>
      <c r="C146" s="263" t="s">
        <v>869</v>
      </c>
      <c r="D146" s="263" t="s">
        <v>964</v>
      </c>
      <c r="E146" s="263" t="s">
        <v>890</v>
      </c>
      <c r="F146" s="263" t="s">
        <v>1014</v>
      </c>
    </row>
    <row r="147" spans="1:6" x14ac:dyDescent="0.25">
      <c r="A147" s="263">
        <v>27190504</v>
      </c>
      <c r="B147" s="263" t="s">
        <v>1037</v>
      </c>
      <c r="C147" s="263" t="s">
        <v>869</v>
      </c>
      <c r="D147" s="263" t="s">
        <v>964</v>
      </c>
      <c r="E147" s="263" t="s">
        <v>890</v>
      </c>
      <c r="F147" s="263" t="s">
        <v>1014</v>
      </c>
    </row>
    <row r="148" spans="1:6" x14ac:dyDescent="0.25">
      <c r="A148" s="263">
        <v>27190505</v>
      </c>
      <c r="B148" s="263" t="s">
        <v>1038</v>
      </c>
      <c r="C148" s="263" t="s">
        <v>869</v>
      </c>
      <c r="D148" s="263" t="s">
        <v>964</v>
      </c>
      <c r="E148" s="263" t="s">
        <v>890</v>
      </c>
      <c r="F148" s="263" t="s">
        <v>1014</v>
      </c>
    </row>
    <row r="149" spans="1:6" x14ac:dyDescent="0.25">
      <c r="A149" s="263">
        <v>27190506</v>
      </c>
      <c r="B149" s="263" t="s">
        <v>1039</v>
      </c>
      <c r="C149" s="263" t="s">
        <v>869</v>
      </c>
      <c r="D149" s="263" t="s">
        <v>964</v>
      </c>
      <c r="E149" s="263" t="s">
        <v>890</v>
      </c>
      <c r="F149" s="263" t="s">
        <v>1014</v>
      </c>
    </row>
    <row r="150" spans="1:6" x14ac:dyDescent="0.25">
      <c r="A150" s="263">
        <v>27190507</v>
      </c>
      <c r="B150" s="263" t="s">
        <v>1040</v>
      </c>
      <c r="C150" s="263" t="s">
        <v>869</v>
      </c>
      <c r="D150" s="263" t="s">
        <v>964</v>
      </c>
      <c r="E150" s="263" t="s">
        <v>890</v>
      </c>
      <c r="F150" s="263" t="s">
        <v>1014</v>
      </c>
    </row>
    <row r="151" spans="1:6" x14ac:dyDescent="0.25">
      <c r="A151" s="263">
        <v>27190508</v>
      </c>
      <c r="B151" s="263" t="s">
        <v>1041</v>
      </c>
      <c r="C151" s="263" t="s">
        <v>869</v>
      </c>
      <c r="D151" s="263" t="s">
        <v>964</v>
      </c>
      <c r="E151" s="263" t="s">
        <v>890</v>
      </c>
      <c r="F151" s="263" t="s">
        <v>1021</v>
      </c>
    </row>
    <row r="152" spans="1:6" x14ac:dyDescent="0.25">
      <c r="A152" s="263">
        <v>27190509</v>
      </c>
      <c r="B152" s="263" t="s">
        <v>1042</v>
      </c>
      <c r="C152" s="263" t="s">
        <v>869</v>
      </c>
      <c r="D152" s="263" t="s">
        <v>964</v>
      </c>
      <c r="E152" s="263" t="s">
        <v>890</v>
      </c>
      <c r="F152" s="263" t="s">
        <v>1014</v>
      </c>
    </row>
    <row r="153" spans="1:6" x14ac:dyDescent="0.25">
      <c r="A153" s="263">
        <v>27190510</v>
      </c>
      <c r="B153" s="263" t="s">
        <v>1043</v>
      </c>
      <c r="C153" s="263" t="s">
        <v>869</v>
      </c>
      <c r="D153" s="263" t="s">
        <v>964</v>
      </c>
      <c r="E153" s="263" t="s">
        <v>890</v>
      </c>
      <c r="F153" s="263" t="s">
        <v>1014</v>
      </c>
    </row>
    <row r="154" spans="1:6" x14ac:dyDescent="0.25">
      <c r="A154" s="263">
        <v>27190599</v>
      </c>
      <c r="B154" s="263" t="s">
        <v>934</v>
      </c>
      <c r="C154" s="263" t="s">
        <v>869</v>
      </c>
      <c r="D154" s="263" t="s">
        <v>964</v>
      </c>
      <c r="E154" s="263" t="s">
        <v>890</v>
      </c>
      <c r="F154" s="263" t="s">
        <v>1014</v>
      </c>
    </row>
    <row r="155" spans="1:6" x14ac:dyDescent="0.25">
      <c r="A155" s="263">
        <v>27190602</v>
      </c>
      <c r="B155" s="263" t="s">
        <v>1044</v>
      </c>
      <c r="C155" s="263" t="s">
        <v>869</v>
      </c>
      <c r="D155" s="263" t="s">
        <v>964</v>
      </c>
      <c r="E155" s="263" t="s">
        <v>890</v>
      </c>
      <c r="F155" s="263" t="s">
        <v>1014</v>
      </c>
    </row>
    <row r="156" spans="1:6" x14ac:dyDescent="0.25">
      <c r="A156" s="263">
        <v>27190699</v>
      </c>
      <c r="B156" s="263" t="s">
        <v>1045</v>
      </c>
      <c r="C156" s="263" t="s">
        <v>869</v>
      </c>
      <c r="D156" s="263" t="s">
        <v>964</v>
      </c>
      <c r="E156" s="263" t="s">
        <v>890</v>
      </c>
      <c r="F156" s="263" t="s">
        <v>1014</v>
      </c>
    </row>
    <row r="157" spans="1:6" x14ac:dyDescent="0.25">
      <c r="A157" s="263">
        <v>27300199</v>
      </c>
      <c r="B157" s="263" t="s">
        <v>899</v>
      </c>
      <c r="C157" s="263" t="s">
        <v>869</v>
      </c>
      <c r="D157" s="263" t="s">
        <v>964</v>
      </c>
      <c r="E157" s="263" t="s">
        <v>900</v>
      </c>
      <c r="F157" s="263" t="s">
        <v>901</v>
      </c>
    </row>
    <row r="158" spans="1:6" x14ac:dyDescent="0.25">
      <c r="A158" s="263">
        <v>27300299</v>
      </c>
      <c r="B158" s="263" t="s">
        <v>899</v>
      </c>
      <c r="C158" s="263" t="s">
        <v>869</v>
      </c>
      <c r="D158" s="263" t="s">
        <v>964</v>
      </c>
      <c r="E158" s="263" t="s">
        <v>900</v>
      </c>
      <c r="F158" s="263" t="s">
        <v>901</v>
      </c>
    </row>
    <row r="159" spans="1:6" x14ac:dyDescent="0.25">
      <c r="A159" s="263">
        <v>27300399</v>
      </c>
      <c r="B159" s="263" t="s">
        <v>899</v>
      </c>
      <c r="C159" s="263" t="s">
        <v>869</v>
      </c>
      <c r="D159" s="263" t="s">
        <v>964</v>
      </c>
      <c r="E159" s="263" t="s">
        <v>900</v>
      </c>
      <c r="F159" s="263" t="s">
        <v>901</v>
      </c>
    </row>
    <row r="160" spans="1:6" x14ac:dyDescent="0.25">
      <c r="A160" s="263">
        <v>27310199</v>
      </c>
      <c r="B160" s="263" t="s">
        <v>902</v>
      </c>
      <c r="C160" s="263" t="s">
        <v>869</v>
      </c>
      <c r="D160" s="263" t="s">
        <v>964</v>
      </c>
      <c r="E160" s="263" t="s">
        <v>900</v>
      </c>
      <c r="F160" s="263" t="s">
        <v>901</v>
      </c>
    </row>
    <row r="161" spans="1:6" x14ac:dyDescent="0.25">
      <c r="A161" s="263">
        <v>27310299</v>
      </c>
      <c r="B161" s="263" t="s">
        <v>903</v>
      </c>
      <c r="C161" s="263" t="s">
        <v>869</v>
      </c>
      <c r="D161" s="263" t="s">
        <v>964</v>
      </c>
      <c r="E161" s="263" t="s">
        <v>900</v>
      </c>
      <c r="F161" s="263" t="s">
        <v>901</v>
      </c>
    </row>
    <row r="162" spans="1:6" x14ac:dyDescent="0.25">
      <c r="A162" s="263">
        <v>27310399</v>
      </c>
      <c r="B162" s="263" t="s">
        <v>904</v>
      </c>
      <c r="C162" s="263" t="s">
        <v>869</v>
      </c>
      <c r="D162" s="263" t="s">
        <v>964</v>
      </c>
      <c r="E162" s="263" t="s">
        <v>900</v>
      </c>
      <c r="F162" s="263" t="s">
        <v>901</v>
      </c>
    </row>
    <row r="163" spans="1:6" x14ac:dyDescent="0.25">
      <c r="A163" s="263">
        <v>27320199</v>
      </c>
      <c r="B163" s="263" t="s">
        <v>905</v>
      </c>
      <c r="C163" s="263" t="s">
        <v>869</v>
      </c>
      <c r="D163" s="263" t="s">
        <v>964</v>
      </c>
      <c r="E163" s="263" t="s">
        <v>900</v>
      </c>
      <c r="F163" s="263" t="s">
        <v>906</v>
      </c>
    </row>
    <row r="164" spans="1:6" x14ac:dyDescent="0.25">
      <c r="A164" s="263">
        <v>27320299</v>
      </c>
      <c r="B164" s="263" t="s">
        <v>907</v>
      </c>
      <c r="C164" s="263" t="s">
        <v>869</v>
      </c>
      <c r="D164" s="263" t="s">
        <v>964</v>
      </c>
      <c r="E164" s="263" t="s">
        <v>900</v>
      </c>
      <c r="F164" s="263" t="s">
        <v>906</v>
      </c>
    </row>
    <row r="165" spans="1:6" x14ac:dyDescent="0.25">
      <c r="A165" s="263">
        <v>27320399</v>
      </c>
      <c r="B165" s="263" t="s">
        <v>908</v>
      </c>
      <c r="C165" s="263" t="s">
        <v>869</v>
      </c>
      <c r="D165" s="263" t="s">
        <v>964</v>
      </c>
      <c r="E165" s="263" t="s">
        <v>900</v>
      </c>
      <c r="F165" s="263" t="s">
        <v>906</v>
      </c>
    </row>
    <row r="166" spans="1:6" x14ac:dyDescent="0.25">
      <c r="A166" s="263">
        <v>27360199</v>
      </c>
      <c r="B166" s="263" t="s">
        <v>913</v>
      </c>
      <c r="C166" s="263" t="s">
        <v>869</v>
      </c>
      <c r="D166" s="263" t="s">
        <v>964</v>
      </c>
      <c r="E166" s="263" t="s">
        <v>900</v>
      </c>
      <c r="F166" s="263" t="s">
        <v>901</v>
      </c>
    </row>
    <row r="167" spans="1:6" x14ac:dyDescent="0.25">
      <c r="A167" s="263">
        <v>27360299</v>
      </c>
      <c r="B167" s="263" t="s">
        <v>1046</v>
      </c>
      <c r="C167" s="263" t="s">
        <v>869</v>
      </c>
      <c r="D167" s="263" t="s">
        <v>964</v>
      </c>
      <c r="E167" s="263" t="s">
        <v>900</v>
      </c>
      <c r="F167" s="263" t="s">
        <v>901</v>
      </c>
    </row>
    <row r="168" spans="1:6" x14ac:dyDescent="0.25">
      <c r="A168" s="263">
        <v>27360399</v>
      </c>
      <c r="B168" s="263" t="s">
        <v>916</v>
      </c>
      <c r="C168" s="263" t="s">
        <v>869</v>
      </c>
      <c r="D168" s="263" t="s">
        <v>964</v>
      </c>
      <c r="E168" s="263" t="s">
        <v>900</v>
      </c>
      <c r="F168" s="263" t="s">
        <v>901</v>
      </c>
    </row>
    <row r="169" spans="1:6" x14ac:dyDescent="0.25">
      <c r="A169" s="263">
        <v>27370199</v>
      </c>
      <c r="B169" s="263" t="s">
        <v>917</v>
      </c>
      <c r="C169" s="263" t="s">
        <v>869</v>
      </c>
      <c r="D169" s="263" t="s">
        <v>964</v>
      </c>
      <c r="E169" s="263" t="s">
        <v>900</v>
      </c>
      <c r="F169" s="263" t="s">
        <v>901</v>
      </c>
    </row>
    <row r="170" spans="1:6" x14ac:dyDescent="0.25">
      <c r="A170" s="263">
        <v>27370299</v>
      </c>
      <c r="B170" s="263" t="s">
        <v>918</v>
      </c>
      <c r="C170" s="263" t="s">
        <v>869</v>
      </c>
      <c r="D170" s="263" t="s">
        <v>964</v>
      </c>
      <c r="E170" s="263" t="s">
        <v>900</v>
      </c>
      <c r="F170" s="263" t="s">
        <v>901</v>
      </c>
    </row>
    <row r="171" spans="1:6" x14ac:dyDescent="0.25">
      <c r="A171" s="263">
        <v>27370399</v>
      </c>
      <c r="B171" s="263" t="s">
        <v>919</v>
      </c>
      <c r="C171" s="263" t="s">
        <v>869</v>
      </c>
      <c r="D171" s="263" t="s">
        <v>964</v>
      </c>
      <c r="E171" s="263" t="s">
        <v>900</v>
      </c>
      <c r="F171" s="263" t="s">
        <v>901</v>
      </c>
    </row>
    <row r="172" spans="1:6" x14ac:dyDescent="0.25">
      <c r="A172" s="263">
        <v>27410199</v>
      </c>
      <c r="B172" s="263" t="s">
        <v>1047</v>
      </c>
      <c r="C172" s="263" t="s">
        <v>869</v>
      </c>
      <c r="D172" s="263" t="s">
        <v>964</v>
      </c>
      <c r="E172" s="263" t="s">
        <v>921</v>
      </c>
      <c r="F172" s="263" t="s">
        <v>1048</v>
      </c>
    </row>
    <row r="173" spans="1:6" x14ac:dyDescent="0.25">
      <c r="A173" s="263">
        <v>27421399</v>
      </c>
      <c r="B173" s="263" t="s">
        <v>1049</v>
      </c>
      <c r="C173" s="263" t="s">
        <v>869</v>
      </c>
      <c r="D173" s="263" t="s">
        <v>964</v>
      </c>
      <c r="E173" s="263" t="s">
        <v>890</v>
      </c>
      <c r="F173" s="263" t="s">
        <v>1014</v>
      </c>
    </row>
    <row r="174" spans="1:6" x14ac:dyDescent="0.25">
      <c r="A174" s="263">
        <v>27421402</v>
      </c>
      <c r="B174" s="263" t="s">
        <v>1050</v>
      </c>
      <c r="C174" s="263" t="s">
        <v>869</v>
      </c>
      <c r="D174" s="263" t="s">
        <v>964</v>
      </c>
      <c r="E174" s="263" t="s">
        <v>890</v>
      </c>
      <c r="F174" s="263" t="s">
        <v>1014</v>
      </c>
    </row>
    <row r="175" spans="1:6" x14ac:dyDescent="0.25">
      <c r="A175" s="263">
        <v>27421403</v>
      </c>
      <c r="B175" s="263" t="s">
        <v>1051</v>
      </c>
      <c r="C175" s="263" t="s">
        <v>869</v>
      </c>
      <c r="D175" s="263" t="s">
        <v>964</v>
      </c>
      <c r="E175" s="263" t="s">
        <v>890</v>
      </c>
      <c r="F175" s="263" t="s">
        <v>1014</v>
      </c>
    </row>
    <row r="176" spans="1:6" x14ac:dyDescent="0.25">
      <c r="A176" s="263">
        <v>27421404</v>
      </c>
      <c r="B176" s="263" t="s">
        <v>1052</v>
      </c>
      <c r="C176" s="263" t="s">
        <v>869</v>
      </c>
      <c r="D176" s="263" t="s">
        <v>964</v>
      </c>
      <c r="E176" s="263" t="s">
        <v>890</v>
      </c>
      <c r="F176" s="263" t="s">
        <v>1014</v>
      </c>
    </row>
    <row r="177" spans="1:6" x14ac:dyDescent="0.25">
      <c r="A177" s="263">
        <v>27421406</v>
      </c>
      <c r="B177" s="263" t="s">
        <v>1053</v>
      </c>
      <c r="C177" s="263" t="s">
        <v>869</v>
      </c>
      <c r="D177" s="263" t="s">
        <v>964</v>
      </c>
      <c r="E177" s="263" t="s">
        <v>890</v>
      </c>
      <c r="F177" s="263" t="s">
        <v>1014</v>
      </c>
    </row>
    <row r="178" spans="1:6" x14ac:dyDescent="0.25">
      <c r="A178" s="263">
        <v>27421407</v>
      </c>
      <c r="B178" s="263" t="s">
        <v>1054</v>
      </c>
      <c r="C178" s="263" t="s">
        <v>869</v>
      </c>
      <c r="D178" s="263" t="s">
        <v>964</v>
      </c>
      <c r="E178" s="263" t="s">
        <v>890</v>
      </c>
      <c r="F178" s="263" t="s">
        <v>1014</v>
      </c>
    </row>
    <row r="179" spans="1:6" x14ac:dyDescent="0.25">
      <c r="A179" s="263">
        <v>27421409</v>
      </c>
      <c r="B179" s="263" t="s">
        <v>1042</v>
      </c>
      <c r="C179" s="263" t="s">
        <v>869</v>
      </c>
      <c r="D179" s="263" t="s">
        <v>964</v>
      </c>
      <c r="E179" s="263" t="s">
        <v>890</v>
      </c>
      <c r="F179" s="263" t="s">
        <v>1014</v>
      </c>
    </row>
    <row r="180" spans="1:6" x14ac:dyDescent="0.25">
      <c r="A180" s="263">
        <v>27421499</v>
      </c>
      <c r="B180" s="263" t="s">
        <v>934</v>
      </c>
      <c r="C180" s="263" t="s">
        <v>869</v>
      </c>
      <c r="D180" s="263" t="s">
        <v>964</v>
      </c>
      <c r="E180" s="263" t="s">
        <v>890</v>
      </c>
      <c r="F180" s="263" t="s">
        <v>1014</v>
      </c>
    </row>
    <row r="181" spans="1:6" x14ac:dyDescent="0.25">
      <c r="A181" s="263">
        <v>27422099</v>
      </c>
      <c r="B181" s="263" t="s">
        <v>1055</v>
      </c>
      <c r="C181" s="263" t="s">
        <v>869</v>
      </c>
      <c r="D181" s="263" t="s">
        <v>964</v>
      </c>
      <c r="E181" s="263" t="s">
        <v>890</v>
      </c>
      <c r="F181" s="263" t="s">
        <v>1014</v>
      </c>
    </row>
    <row r="182" spans="1:6" x14ac:dyDescent="0.25">
      <c r="A182" s="263">
        <v>27440102</v>
      </c>
      <c r="B182" s="263" t="s">
        <v>1056</v>
      </c>
      <c r="C182" s="263" t="s">
        <v>869</v>
      </c>
      <c r="D182" s="263" t="s">
        <v>964</v>
      </c>
      <c r="E182" s="263" t="s">
        <v>921</v>
      </c>
      <c r="F182" s="263" t="s">
        <v>1048</v>
      </c>
    </row>
    <row r="183" spans="1:6" x14ac:dyDescent="0.25">
      <c r="A183" s="263">
        <v>27440103</v>
      </c>
      <c r="B183" s="263" t="s">
        <v>1057</v>
      </c>
      <c r="C183" s="263" t="s">
        <v>869</v>
      </c>
      <c r="D183" s="263" t="s">
        <v>964</v>
      </c>
      <c r="E183" s="263" t="s">
        <v>921</v>
      </c>
      <c r="F183" s="263" t="s">
        <v>1048</v>
      </c>
    </row>
    <row r="184" spans="1:6" x14ac:dyDescent="0.25">
      <c r="A184" s="263">
        <v>27440104</v>
      </c>
      <c r="B184" s="263" t="s">
        <v>1058</v>
      </c>
      <c r="C184" s="263" t="s">
        <v>869</v>
      </c>
      <c r="D184" s="263" t="s">
        <v>964</v>
      </c>
      <c r="E184" s="263" t="s">
        <v>921</v>
      </c>
      <c r="F184" s="263" t="s">
        <v>1048</v>
      </c>
    </row>
    <row r="185" spans="1:6" x14ac:dyDescent="0.25">
      <c r="A185" s="263">
        <v>27440105</v>
      </c>
      <c r="B185" s="263" t="s">
        <v>1059</v>
      </c>
      <c r="C185" s="263" t="s">
        <v>869</v>
      </c>
      <c r="D185" s="263" t="s">
        <v>964</v>
      </c>
      <c r="E185" s="263" t="s">
        <v>921</v>
      </c>
      <c r="F185" s="263" t="s">
        <v>1048</v>
      </c>
    </row>
    <row r="186" spans="1:6" x14ac:dyDescent="0.25">
      <c r="A186" s="263">
        <v>27440106</v>
      </c>
      <c r="B186" s="263" t="s">
        <v>1060</v>
      </c>
      <c r="C186" s="263" t="s">
        <v>869</v>
      </c>
      <c r="D186" s="263" t="s">
        <v>964</v>
      </c>
      <c r="E186" s="263" t="s">
        <v>921</v>
      </c>
      <c r="F186" s="263" t="s">
        <v>1048</v>
      </c>
    </row>
    <row r="187" spans="1:6" x14ac:dyDescent="0.25">
      <c r="A187" s="263">
        <v>27440107</v>
      </c>
      <c r="B187" s="263" t="s">
        <v>1061</v>
      </c>
      <c r="C187" s="263" t="s">
        <v>869</v>
      </c>
      <c r="D187" s="263" t="s">
        <v>964</v>
      </c>
      <c r="E187" s="263" t="s">
        <v>921</v>
      </c>
      <c r="F187" s="263" t="s">
        <v>1048</v>
      </c>
    </row>
    <row r="188" spans="1:6" x14ac:dyDescent="0.25">
      <c r="A188" s="263">
        <v>27440110</v>
      </c>
      <c r="B188" s="263" t="s">
        <v>1062</v>
      </c>
      <c r="C188" s="263" t="s">
        <v>869</v>
      </c>
      <c r="D188" s="263" t="s">
        <v>964</v>
      </c>
      <c r="E188" s="263" t="s">
        <v>921</v>
      </c>
      <c r="F188" s="263" t="s">
        <v>1048</v>
      </c>
    </row>
    <row r="189" spans="1:6" x14ac:dyDescent="0.25">
      <c r="A189" s="263">
        <v>27440199</v>
      </c>
      <c r="B189" s="263" t="s">
        <v>1063</v>
      </c>
      <c r="C189" s="263" t="s">
        <v>869</v>
      </c>
      <c r="D189" s="263" t="s">
        <v>964</v>
      </c>
      <c r="E189" s="263" t="s">
        <v>921</v>
      </c>
      <c r="F189" s="263" t="s">
        <v>1048</v>
      </c>
    </row>
    <row r="190" spans="1:6" x14ac:dyDescent="0.25">
      <c r="A190" s="263">
        <v>27440399</v>
      </c>
      <c r="B190" s="263" t="s">
        <v>1064</v>
      </c>
      <c r="C190" s="263" t="s">
        <v>869</v>
      </c>
      <c r="D190" s="263" t="s">
        <v>964</v>
      </c>
      <c r="E190" s="263" t="s">
        <v>921</v>
      </c>
      <c r="F190" s="263" t="s">
        <v>1048</v>
      </c>
    </row>
    <row r="191" spans="1:6" x14ac:dyDescent="0.25">
      <c r="A191" s="263">
        <v>27440499</v>
      </c>
      <c r="B191" s="263" t="s">
        <v>1065</v>
      </c>
      <c r="C191" s="263" t="s">
        <v>869</v>
      </c>
      <c r="D191" s="263" t="s">
        <v>964</v>
      </c>
      <c r="E191" s="263" t="s">
        <v>921</v>
      </c>
      <c r="F191" s="263" t="s">
        <v>1066</v>
      </c>
    </row>
    <row r="192" spans="1:6" x14ac:dyDescent="0.25">
      <c r="A192" s="263">
        <v>27450199</v>
      </c>
      <c r="B192" s="263" t="s">
        <v>1067</v>
      </c>
      <c r="C192" s="263" t="s">
        <v>869</v>
      </c>
      <c r="D192" s="263" t="s">
        <v>964</v>
      </c>
      <c r="E192" s="263" t="s">
        <v>921</v>
      </c>
      <c r="F192" s="263" t="s">
        <v>945</v>
      </c>
    </row>
    <row r="193" spans="1:6" x14ac:dyDescent="0.25">
      <c r="A193" s="263">
        <v>27470198</v>
      </c>
      <c r="B193" s="263" t="s">
        <v>1068</v>
      </c>
      <c r="C193" s="263" t="s">
        <v>869</v>
      </c>
      <c r="D193" s="263" t="s">
        <v>964</v>
      </c>
      <c r="E193" s="263" t="s">
        <v>795</v>
      </c>
      <c r="F193" s="263" t="s">
        <v>983</v>
      </c>
    </row>
    <row r="194" spans="1:6" x14ac:dyDescent="0.25">
      <c r="A194" s="263">
        <v>27470199</v>
      </c>
      <c r="B194" s="263" t="s">
        <v>1068</v>
      </c>
      <c r="C194" s="263" t="s">
        <v>869</v>
      </c>
      <c r="D194" s="263" t="s">
        <v>964</v>
      </c>
      <c r="E194" s="263" t="s">
        <v>921</v>
      </c>
      <c r="F194" s="263" t="s">
        <v>1069</v>
      </c>
    </row>
    <row r="195" spans="1:6" x14ac:dyDescent="0.25">
      <c r="A195" s="263">
        <v>27480199</v>
      </c>
      <c r="B195" s="263" t="s">
        <v>1070</v>
      </c>
      <c r="C195" s="263" t="s">
        <v>869</v>
      </c>
      <c r="D195" s="263" t="s">
        <v>964</v>
      </c>
      <c r="E195" s="263" t="s">
        <v>921</v>
      </c>
      <c r="F195" s="263" t="s">
        <v>997</v>
      </c>
    </row>
    <row r="196" spans="1:6" x14ac:dyDescent="0.25">
      <c r="A196" s="263">
        <v>27490199</v>
      </c>
      <c r="B196" s="263" t="s">
        <v>1071</v>
      </c>
      <c r="C196" s="263" t="s">
        <v>869</v>
      </c>
      <c r="D196" s="263" t="s">
        <v>964</v>
      </c>
      <c r="E196" s="263" t="s">
        <v>921</v>
      </c>
      <c r="F196" s="263" t="s">
        <v>1072</v>
      </c>
    </row>
    <row r="197" spans="1:6" x14ac:dyDescent="0.25">
      <c r="A197" s="263">
        <v>27740102</v>
      </c>
      <c r="B197" s="263" t="s">
        <v>438</v>
      </c>
      <c r="C197" s="263" t="s">
        <v>869</v>
      </c>
      <c r="D197" s="263" t="s">
        <v>964</v>
      </c>
      <c r="E197" s="263" t="s">
        <v>921</v>
      </c>
      <c r="F197" s="263" t="s">
        <v>1072</v>
      </c>
    </row>
    <row r="198" spans="1:6" x14ac:dyDescent="0.25">
      <c r="A198" s="263">
        <v>27740106</v>
      </c>
      <c r="B198" s="263" t="s">
        <v>1073</v>
      </c>
      <c r="C198" s="263" t="s">
        <v>869</v>
      </c>
      <c r="D198" s="263" t="s">
        <v>964</v>
      </c>
      <c r="E198" s="263" t="s">
        <v>921</v>
      </c>
      <c r="F198" s="263" t="s">
        <v>1072</v>
      </c>
    </row>
    <row r="199" spans="1:6" x14ac:dyDescent="0.25">
      <c r="A199" s="263">
        <v>27910199</v>
      </c>
      <c r="B199" s="263" t="s">
        <v>1074</v>
      </c>
      <c r="C199" s="263" t="s">
        <v>869</v>
      </c>
      <c r="D199" s="263" t="s">
        <v>964</v>
      </c>
      <c r="E199" s="263" t="s">
        <v>1075</v>
      </c>
      <c r="F199" s="263" t="s">
        <v>1076</v>
      </c>
    </row>
    <row r="200" spans="1:6" x14ac:dyDescent="0.25">
      <c r="A200" s="263">
        <v>27910299</v>
      </c>
      <c r="B200" s="263" t="s">
        <v>1077</v>
      </c>
      <c r="C200" s="263" t="s">
        <v>869</v>
      </c>
      <c r="D200" s="263" t="s">
        <v>964</v>
      </c>
      <c r="E200" s="263" t="s">
        <v>921</v>
      </c>
      <c r="F200" s="263" t="s">
        <v>1078</v>
      </c>
    </row>
    <row r="201" spans="1:6" x14ac:dyDescent="0.25">
      <c r="A201" s="263">
        <v>27910399</v>
      </c>
      <c r="B201" s="263" t="s">
        <v>1079</v>
      </c>
      <c r="C201" s="263" t="s">
        <v>869</v>
      </c>
      <c r="D201" s="263" t="s">
        <v>964</v>
      </c>
      <c r="E201" s="263" t="s">
        <v>921</v>
      </c>
      <c r="F201" s="263" t="s">
        <v>1080</v>
      </c>
    </row>
    <row r="202" spans="1:6" x14ac:dyDescent="0.25">
      <c r="A202" s="263">
        <v>27910499</v>
      </c>
      <c r="B202" s="263" t="s">
        <v>1081</v>
      </c>
      <c r="C202" s="263" t="s">
        <v>869</v>
      </c>
      <c r="D202" s="263" t="s">
        <v>964</v>
      </c>
      <c r="E202" s="263" t="s">
        <v>921</v>
      </c>
      <c r="F202" s="263" t="s">
        <v>1082</v>
      </c>
    </row>
    <row r="203" spans="1:6" x14ac:dyDescent="0.25">
      <c r="A203" s="263">
        <v>27910599</v>
      </c>
      <c r="B203" s="263" t="s">
        <v>1083</v>
      </c>
      <c r="C203" s="263" t="s">
        <v>869</v>
      </c>
      <c r="D203" s="263" t="s">
        <v>964</v>
      </c>
      <c r="E203" s="263" t="s">
        <v>921</v>
      </c>
      <c r="F203" s="263" t="s">
        <v>1084</v>
      </c>
    </row>
    <row r="204" spans="1:6" x14ac:dyDescent="0.25">
      <c r="A204" s="263">
        <v>27910699</v>
      </c>
      <c r="B204" s="289" t="s">
        <v>1085</v>
      </c>
      <c r="C204" s="263" t="s">
        <v>869</v>
      </c>
      <c r="D204" s="263" t="s">
        <v>964</v>
      </c>
      <c r="E204" s="263" t="s">
        <v>921</v>
      </c>
      <c r="F204" s="289" t="s">
        <v>1085</v>
      </c>
    </row>
    <row r="205" spans="1:6" x14ac:dyDescent="0.25">
      <c r="A205" s="263">
        <v>27920199</v>
      </c>
      <c r="B205" s="263" t="s">
        <v>1086</v>
      </c>
      <c r="C205" s="263" t="s">
        <v>869</v>
      </c>
      <c r="D205" s="263" t="s">
        <v>964</v>
      </c>
      <c r="E205" s="263" t="s">
        <v>921</v>
      </c>
      <c r="F205" s="263" t="s">
        <v>1087</v>
      </c>
    </row>
    <row r="206" spans="1:6" x14ac:dyDescent="0.25">
      <c r="A206" s="263">
        <v>27960199</v>
      </c>
      <c r="B206" s="263" t="s">
        <v>1088</v>
      </c>
      <c r="C206" s="263" t="s">
        <v>869</v>
      </c>
      <c r="D206" s="263" t="s">
        <v>964</v>
      </c>
      <c r="E206" s="263" t="s">
        <v>921</v>
      </c>
      <c r="F206" s="263" t="s">
        <v>1087</v>
      </c>
    </row>
    <row r="207" spans="1:6" x14ac:dyDescent="0.25">
      <c r="A207" s="263">
        <v>27990145</v>
      </c>
      <c r="B207" s="263" t="s">
        <v>442</v>
      </c>
      <c r="C207" s="263" t="s">
        <v>869</v>
      </c>
      <c r="D207" s="263" t="s">
        <v>964</v>
      </c>
      <c r="E207" s="263" t="s">
        <v>921</v>
      </c>
      <c r="F207" s="263" t="s">
        <v>1087</v>
      </c>
    </row>
    <row r="208" spans="1:6" x14ac:dyDescent="0.25">
      <c r="A208" s="263">
        <v>28110199</v>
      </c>
      <c r="B208" s="263" t="s">
        <v>1089</v>
      </c>
      <c r="C208" s="263" t="s">
        <v>869</v>
      </c>
      <c r="D208" s="263" t="s">
        <v>964</v>
      </c>
      <c r="E208" s="263" t="s">
        <v>921</v>
      </c>
      <c r="F208" s="263" t="s">
        <v>1090</v>
      </c>
    </row>
    <row r="209" spans="1:6" x14ac:dyDescent="0.25">
      <c r="A209" s="263">
        <v>28130199</v>
      </c>
      <c r="B209" s="263" t="s">
        <v>1091</v>
      </c>
      <c r="C209" s="263" t="s">
        <v>869</v>
      </c>
      <c r="D209" s="263" t="s">
        <v>964</v>
      </c>
      <c r="E209" s="263" t="s">
        <v>921</v>
      </c>
      <c r="F209" s="263" t="s">
        <v>1090</v>
      </c>
    </row>
    <row r="210" spans="1:6" x14ac:dyDescent="0.25">
      <c r="A210" s="263">
        <v>28150199</v>
      </c>
      <c r="B210" s="263" t="s">
        <v>1092</v>
      </c>
      <c r="C210" s="263" t="s">
        <v>869</v>
      </c>
      <c r="D210" s="263" t="s">
        <v>964</v>
      </c>
      <c r="E210" s="263" t="s">
        <v>921</v>
      </c>
      <c r="F210" s="263" t="s">
        <v>1090</v>
      </c>
    </row>
    <row r="211" spans="1:6" x14ac:dyDescent="0.25">
      <c r="A211" s="263">
        <v>28220109</v>
      </c>
      <c r="B211" s="263" t="s">
        <v>1093</v>
      </c>
      <c r="C211" s="263" t="s">
        <v>869</v>
      </c>
      <c r="D211" s="263" t="s">
        <v>964</v>
      </c>
      <c r="E211" s="263" t="s">
        <v>921</v>
      </c>
      <c r="F211" s="263" t="s">
        <v>956</v>
      </c>
    </row>
    <row r="212" spans="1:6" x14ac:dyDescent="0.25">
      <c r="A212" s="263">
        <v>28220110</v>
      </c>
      <c r="B212" s="263" t="s">
        <v>1094</v>
      </c>
      <c r="C212" s="263" t="s">
        <v>869</v>
      </c>
      <c r="D212" s="263" t="s">
        <v>964</v>
      </c>
      <c r="E212" s="263" t="s">
        <v>921</v>
      </c>
      <c r="F212" s="263" t="s">
        <v>956</v>
      </c>
    </row>
    <row r="213" spans="1:6" x14ac:dyDescent="0.25">
      <c r="A213" s="263">
        <v>28220199</v>
      </c>
      <c r="B213" s="263" t="s">
        <v>1095</v>
      </c>
      <c r="C213" s="263" t="s">
        <v>869</v>
      </c>
      <c r="D213" s="263" t="s">
        <v>964</v>
      </c>
      <c r="E213" s="263" t="s">
        <v>921</v>
      </c>
      <c r="F213" s="263" t="s">
        <v>956</v>
      </c>
    </row>
    <row r="214" spans="1:6" x14ac:dyDescent="0.25">
      <c r="A214" s="263">
        <v>28230199</v>
      </c>
      <c r="B214" s="263" t="s">
        <v>1096</v>
      </c>
      <c r="C214" s="263" t="s">
        <v>869</v>
      </c>
      <c r="D214" s="263" t="s">
        <v>964</v>
      </c>
      <c r="E214" s="263" t="s">
        <v>921</v>
      </c>
      <c r="F214" s="263" t="s">
        <v>1097</v>
      </c>
    </row>
    <row r="215" spans="1:6" x14ac:dyDescent="0.25">
      <c r="A215" s="263">
        <v>28600102</v>
      </c>
      <c r="B215" s="263" t="s">
        <v>1098</v>
      </c>
      <c r="C215" s="263" t="s">
        <v>869</v>
      </c>
      <c r="D215" s="263" t="s">
        <v>964</v>
      </c>
      <c r="E215" s="263" t="s">
        <v>890</v>
      </c>
      <c r="F215" s="263" t="s">
        <v>1099</v>
      </c>
    </row>
    <row r="216" spans="1:6" x14ac:dyDescent="0.25">
      <c r="A216" s="263">
        <v>28600202</v>
      </c>
      <c r="B216" s="263" t="s">
        <v>1100</v>
      </c>
      <c r="C216" s="263" t="s">
        <v>869</v>
      </c>
      <c r="D216" s="263" t="s">
        <v>964</v>
      </c>
      <c r="E216" s="263" t="s">
        <v>890</v>
      </c>
      <c r="F216" s="263" t="s">
        <v>1101</v>
      </c>
    </row>
    <row r="217" spans="1:6" x14ac:dyDescent="0.25">
      <c r="A217" s="263">
        <v>28600203</v>
      </c>
      <c r="B217" s="263" t="s">
        <v>1102</v>
      </c>
      <c r="C217" s="263" t="s">
        <v>869</v>
      </c>
      <c r="D217" s="263" t="s">
        <v>964</v>
      </c>
      <c r="E217" s="263" t="s">
        <v>890</v>
      </c>
      <c r="F217" s="263" t="s">
        <v>1103</v>
      </c>
    </row>
    <row r="218" spans="1:6" x14ac:dyDescent="0.25">
      <c r="A218" s="263">
        <v>28600204</v>
      </c>
      <c r="B218" s="263" t="s">
        <v>444</v>
      </c>
      <c r="C218" s="263" t="s">
        <v>869</v>
      </c>
      <c r="D218" s="263" t="s">
        <v>964</v>
      </c>
      <c r="E218" s="263" t="s">
        <v>1104</v>
      </c>
      <c r="F218" s="263" t="s">
        <v>1105</v>
      </c>
    </row>
    <row r="219" spans="1:6" x14ac:dyDescent="0.25">
      <c r="A219" s="263">
        <v>28900199</v>
      </c>
      <c r="B219" s="263" t="s">
        <v>1106</v>
      </c>
      <c r="C219" s="263" t="s">
        <v>869</v>
      </c>
      <c r="D219" s="263" t="s">
        <v>964</v>
      </c>
      <c r="E219" s="263" t="s">
        <v>782</v>
      </c>
      <c r="F219" s="263" t="s">
        <v>783</v>
      </c>
    </row>
    <row r="220" spans="1:6" x14ac:dyDescent="0.25">
      <c r="A220" s="263">
        <v>28900299</v>
      </c>
      <c r="B220" s="263" t="s">
        <v>1107</v>
      </c>
      <c r="C220" s="263" t="s">
        <v>869</v>
      </c>
      <c r="D220" s="263" t="s">
        <v>964</v>
      </c>
      <c r="E220" s="263" t="s">
        <v>782</v>
      </c>
      <c r="F220" s="263" t="s">
        <v>784</v>
      </c>
    </row>
    <row r="221" spans="1:6" x14ac:dyDescent="0.25">
      <c r="A221" s="263">
        <v>29100199</v>
      </c>
      <c r="B221" s="263" t="s">
        <v>1108</v>
      </c>
      <c r="C221" s="263" t="s">
        <v>869</v>
      </c>
      <c r="D221" s="263" t="s">
        <v>964</v>
      </c>
      <c r="E221" s="263" t="s">
        <v>921</v>
      </c>
      <c r="F221" s="263" t="s">
        <v>290</v>
      </c>
    </row>
    <row r="222" spans="1:6" x14ac:dyDescent="0.25">
      <c r="A222" s="263">
        <v>29200199</v>
      </c>
      <c r="B222" s="263" t="s">
        <v>962</v>
      </c>
      <c r="C222" s="263" t="s">
        <v>869</v>
      </c>
      <c r="D222" s="263" t="s">
        <v>964</v>
      </c>
      <c r="E222" s="263" t="s">
        <v>781</v>
      </c>
      <c r="F222" s="263" t="s">
        <v>781</v>
      </c>
    </row>
    <row r="223" spans="1:6" x14ac:dyDescent="0.25">
      <c r="A223" s="263">
        <v>29200299</v>
      </c>
      <c r="B223" s="263" t="s">
        <v>1109</v>
      </c>
      <c r="C223" s="263" t="s">
        <v>869</v>
      </c>
      <c r="D223" s="263" t="s">
        <v>964</v>
      </c>
      <c r="E223" s="263" t="s">
        <v>781</v>
      </c>
      <c r="F223" s="263" t="s">
        <v>781</v>
      </c>
    </row>
    <row r="224" spans="1:6" x14ac:dyDescent="0.25">
      <c r="A224" s="263">
        <v>34000120</v>
      </c>
      <c r="B224" s="263" t="s">
        <v>1110</v>
      </c>
      <c r="C224" s="263" t="s">
        <v>869</v>
      </c>
      <c r="D224" s="263" t="s">
        <v>910</v>
      </c>
      <c r="E224" s="263" t="s">
        <v>795</v>
      </c>
      <c r="F224" s="263" t="s">
        <v>346</v>
      </c>
    </row>
    <row r="225" spans="1:6" x14ac:dyDescent="0.25">
      <c r="A225" s="263">
        <v>34010120</v>
      </c>
      <c r="B225" s="263" t="s">
        <v>1111</v>
      </c>
      <c r="C225" s="263" t="s">
        <v>869</v>
      </c>
      <c r="D225" s="263" t="s">
        <v>910</v>
      </c>
      <c r="E225" s="263" t="s">
        <v>795</v>
      </c>
      <c r="F225" s="263" t="s">
        <v>1112</v>
      </c>
    </row>
    <row r="226" spans="1:6" x14ac:dyDescent="0.25">
      <c r="A226" s="263">
        <v>34010220</v>
      </c>
      <c r="B226" s="263" t="s">
        <v>447</v>
      </c>
      <c r="C226" s="263" t="s">
        <v>869</v>
      </c>
      <c r="D226" s="263" t="s">
        <v>910</v>
      </c>
      <c r="E226" s="263" t="s">
        <v>795</v>
      </c>
      <c r="F226" s="263" t="s">
        <v>1112</v>
      </c>
    </row>
    <row r="227" spans="1:6" x14ac:dyDescent="0.25">
      <c r="A227" s="263">
        <v>34020126</v>
      </c>
      <c r="B227" s="263" t="s">
        <v>1113</v>
      </c>
      <c r="C227" s="263" t="s">
        <v>869</v>
      </c>
      <c r="D227" s="263" t="s">
        <v>910</v>
      </c>
      <c r="E227" s="263" t="s">
        <v>795</v>
      </c>
      <c r="F227" s="263" t="s">
        <v>347</v>
      </c>
    </row>
    <row r="228" spans="1:6" x14ac:dyDescent="0.25">
      <c r="A228" s="263">
        <v>34020127</v>
      </c>
      <c r="B228" s="263" t="s">
        <v>1114</v>
      </c>
      <c r="C228" s="263" t="s">
        <v>869</v>
      </c>
      <c r="D228" s="263" t="s">
        <v>910</v>
      </c>
      <c r="E228" s="263" t="s">
        <v>795</v>
      </c>
      <c r="F228" s="263" t="s">
        <v>347</v>
      </c>
    </row>
    <row r="229" spans="1:6" x14ac:dyDescent="0.25">
      <c r="A229" s="263">
        <v>34020129</v>
      </c>
      <c r="B229" s="263" t="s">
        <v>1115</v>
      </c>
      <c r="C229" s="263" t="s">
        <v>869</v>
      </c>
      <c r="D229" s="263" t="s">
        <v>910</v>
      </c>
      <c r="E229" s="263" t="s">
        <v>795</v>
      </c>
      <c r="F229" s="263" t="s">
        <v>347</v>
      </c>
    </row>
    <row r="230" spans="1:6" x14ac:dyDescent="0.25">
      <c r="A230" s="263">
        <v>34020226</v>
      </c>
      <c r="B230" s="263" t="s">
        <v>1116</v>
      </c>
      <c r="C230" s="263" t="s">
        <v>869</v>
      </c>
      <c r="D230" s="263" t="s">
        <v>910</v>
      </c>
      <c r="E230" s="263" t="s">
        <v>795</v>
      </c>
      <c r="F230" s="263" t="s">
        <v>347</v>
      </c>
    </row>
    <row r="231" spans="1:6" x14ac:dyDescent="0.25">
      <c r="A231" s="263">
        <v>34020227</v>
      </c>
      <c r="B231" s="263" t="s">
        <v>1117</v>
      </c>
      <c r="C231" s="263" t="s">
        <v>869</v>
      </c>
      <c r="D231" s="263" t="s">
        <v>910</v>
      </c>
      <c r="E231" s="263" t="s">
        <v>795</v>
      </c>
      <c r="F231" s="263" t="s">
        <v>347</v>
      </c>
    </row>
    <row r="232" spans="1:6" x14ac:dyDescent="0.25">
      <c r="A232" s="263">
        <v>34020327</v>
      </c>
      <c r="B232" s="263" t="s">
        <v>1118</v>
      </c>
      <c r="C232" s="263" t="s">
        <v>869</v>
      </c>
      <c r="D232" s="263" t="s">
        <v>910</v>
      </c>
      <c r="E232" s="263" t="s">
        <v>795</v>
      </c>
      <c r="F232" s="263" t="s">
        <v>347</v>
      </c>
    </row>
    <row r="233" spans="1:6" x14ac:dyDescent="0.25">
      <c r="A233" s="263">
        <v>34020333</v>
      </c>
      <c r="B233" s="263" t="s">
        <v>1119</v>
      </c>
      <c r="C233" s="263" t="s">
        <v>869</v>
      </c>
      <c r="D233" s="263" t="s">
        <v>910</v>
      </c>
      <c r="E233" s="263" t="s">
        <v>795</v>
      </c>
      <c r="F233" s="263" t="s">
        <v>347</v>
      </c>
    </row>
    <row r="234" spans="1:6" x14ac:dyDescent="0.25">
      <c r="A234" s="263">
        <v>34020334</v>
      </c>
      <c r="B234" s="263" t="s">
        <v>1120</v>
      </c>
      <c r="C234" s="263" t="s">
        <v>869</v>
      </c>
      <c r="D234" s="263" t="s">
        <v>910</v>
      </c>
      <c r="E234" s="263" t="s">
        <v>795</v>
      </c>
      <c r="F234" s="263" t="s">
        <v>347</v>
      </c>
    </row>
    <row r="235" spans="1:6" x14ac:dyDescent="0.25">
      <c r="A235" s="263">
        <v>34030126</v>
      </c>
      <c r="B235" s="263" t="s">
        <v>1121</v>
      </c>
      <c r="C235" s="263" t="s">
        <v>869</v>
      </c>
      <c r="D235" s="263" t="s">
        <v>910</v>
      </c>
      <c r="E235" s="263" t="s">
        <v>795</v>
      </c>
      <c r="F235" s="263" t="s">
        <v>1122</v>
      </c>
    </row>
    <row r="236" spans="1:6" x14ac:dyDescent="0.25">
      <c r="A236" s="263">
        <v>34030127</v>
      </c>
      <c r="B236" s="263" t="s">
        <v>1123</v>
      </c>
      <c r="C236" s="263" t="s">
        <v>869</v>
      </c>
      <c r="D236" s="263" t="s">
        <v>910</v>
      </c>
      <c r="E236" s="263" t="s">
        <v>795</v>
      </c>
      <c r="F236" s="263" t="s">
        <v>1122</v>
      </c>
    </row>
    <row r="237" spans="1:6" x14ac:dyDescent="0.25">
      <c r="A237" s="263">
        <v>34030131</v>
      </c>
      <c r="B237" s="263" t="s">
        <v>1124</v>
      </c>
      <c r="C237" s="263" t="s">
        <v>869</v>
      </c>
      <c r="D237" s="263" t="s">
        <v>910</v>
      </c>
      <c r="E237" s="263" t="s">
        <v>795</v>
      </c>
      <c r="F237" s="263" t="s">
        <v>1122</v>
      </c>
    </row>
    <row r="238" spans="1:6" x14ac:dyDescent="0.25">
      <c r="A238" s="263">
        <v>34040127</v>
      </c>
      <c r="B238" s="263" t="s">
        <v>1125</v>
      </c>
      <c r="C238" s="263" t="s">
        <v>869</v>
      </c>
      <c r="D238" s="263" t="s">
        <v>910</v>
      </c>
      <c r="E238" s="263" t="s">
        <v>795</v>
      </c>
      <c r="F238" s="263" t="s">
        <v>983</v>
      </c>
    </row>
    <row r="239" spans="1:6" x14ac:dyDescent="0.25">
      <c r="A239" s="263">
        <v>34090199</v>
      </c>
      <c r="B239" s="263" t="s">
        <v>1126</v>
      </c>
      <c r="C239" s="263" t="s">
        <v>869</v>
      </c>
      <c r="D239" s="263" t="s">
        <v>910</v>
      </c>
      <c r="E239" s="263" t="s">
        <v>1127</v>
      </c>
      <c r="F239" s="263" t="s">
        <v>1128</v>
      </c>
    </row>
    <row r="240" spans="1:6" x14ac:dyDescent="0.25">
      <c r="A240" s="263">
        <v>34090399</v>
      </c>
      <c r="B240" s="263" t="s">
        <v>1129</v>
      </c>
      <c r="C240" s="263" t="s">
        <v>869</v>
      </c>
      <c r="D240" s="263" t="s">
        <v>910</v>
      </c>
      <c r="E240" s="263" t="s">
        <v>1127</v>
      </c>
      <c r="F240" s="263" t="s">
        <v>1130</v>
      </c>
    </row>
    <row r="241" spans="1:6" x14ac:dyDescent="0.25">
      <c r="A241" s="263">
        <v>34090499</v>
      </c>
      <c r="B241" s="263" t="s">
        <v>1131</v>
      </c>
      <c r="C241" s="263" t="s">
        <v>869</v>
      </c>
      <c r="D241" s="263" t="s">
        <v>910</v>
      </c>
      <c r="E241" s="263" t="s">
        <v>1127</v>
      </c>
      <c r="F241" s="263" t="s">
        <v>1132</v>
      </c>
    </row>
    <row r="242" spans="1:6" x14ac:dyDescent="0.25">
      <c r="A242" s="263">
        <v>34090527</v>
      </c>
      <c r="B242" s="263" t="s">
        <v>1133</v>
      </c>
      <c r="C242" s="263" t="s">
        <v>869</v>
      </c>
      <c r="D242" s="263" t="s">
        <v>910</v>
      </c>
      <c r="E242" s="263" t="s">
        <v>1127</v>
      </c>
      <c r="F242" s="263" t="s">
        <v>1134</v>
      </c>
    </row>
    <row r="243" spans="1:6" x14ac:dyDescent="0.25">
      <c r="A243" s="263">
        <v>34150331</v>
      </c>
      <c r="B243" s="263" t="s">
        <v>1135</v>
      </c>
      <c r="C243" s="263" t="s">
        <v>869</v>
      </c>
      <c r="D243" s="263" t="s">
        <v>910</v>
      </c>
      <c r="E243" s="263" t="s">
        <v>795</v>
      </c>
      <c r="F243" s="263" t="s">
        <v>877</v>
      </c>
    </row>
    <row r="244" spans="1:6" x14ac:dyDescent="0.25">
      <c r="A244" s="263">
        <v>34150419</v>
      </c>
      <c r="B244" s="263" t="s">
        <v>1136</v>
      </c>
      <c r="C244" s="263" t="s">
        <v>869</v>
      </c>
      <c r="D244" s="263" t="s">
        <v>910</v>
      </c>
      <c r="E244" s="263" t="s">
        <v>795</v>
      </c>
      <c r="F244" s="263" t="s">
        <v>877</v>
      </c>
    </row>
    <row r="245" spans="1:6" x14ac:dyDescent="0.25">
      <c r="A245" s="263">
        <v>34150499</v>
      </c>
      <c r="B245" s="263" t="s">
        <v>1137</v>
      </c>
      <c r="C245" s="263" t="s">
        <v>869</v>
      </c>
      <c r="D245" s="263" t="s">
        <v>910</v>
      </c>
      <c r="E245" s="263" t="s">
        <v>795</v>
      </c>
      <c r="F245" s="263" t="s">
        <v>877</v>
      </c>
    </row>
    <row r="246" spans="1:6" x14ac:dyDescent="0.25">
      <c r="A246" s="263">
        <v>34200121</v>
      </c>
      <c r="B246" s="263" t="s">
        <v>1138</v>
      </c>
      <c r="C246" s="263" t="s">
        <v>869</v>
      </c>
      <c r="D246" s="263" t="s">
        <v>910</v>
      </c>
      <c r="E246" s="263" t="s">
        <v>795</v>
      </c>
      <c r="F246" s="263" t="s">
        <v>1139</v>
      </c>
    </row>
    <row r="247" spans="1:6" x14ac:dyDescent="0.25">
      <c r="A247" s="263">
        <v>34200128</v>
      </c>
      <c r="B247" s="263" t="s">
        <v>1140</v>
      </c>
      <c r="C247" s="263" t="s">
        <v>869</v>
      </c>
      <c r="D247" s="263" t="s">
        <v>910</v>
      </c>
      <c r="E247" s="263" t="s">
        <v>795</v>
      </c>
      <c r="F247" s="263" t="s">
        <v>1139</v>
      </c>
    </row>
    <row r="248" spans="1:6" x14ac:dyDescent="0.25">
      <c r="A248" s="263">
        <v>34220199</v>
      </c>
      <c r="B248" s="263" t="s">
        <v>1141</v>
      </c>
      <c r="C248" s="263" t="s">
        <v>869</v>
      </c>
      <c r="D248" s="263" t="s">
        <v>910</v>
      </c>
      <c r="E248" s="263" t="s">
        <v>795</v>
      </c>
      <c r="F248" s="263" t="s">
        <v>1142</v>
      </c>
    </row>
    <row r="249" spans="1:6" x14ac:dyDescent="0.25">
      <c r="A249" s="263">
        <v>34350120</v>
      </c>
      <c r="B249" s="263" t="s">
        <v>1143</v>
      </c>
      <c r="C249" s="263" t="s">
        <v>869</v>
      </c>
      <c r="D249" s="263" t="s">
        <v>910</v>
      </c>
      <c r="E249" s="263" t="s">
        <v>795</v>
      </c>
      <c r="F249" s="263" t="s">
        <v>978</v>
      </c>
    </row>
    <row r="250" spans="1:6" x14ac:dyDescent="0.25">
      <c r="A250" s="263">
        <v>34350126</v>
      </c>
      <c r="B250" s="263" t="s">
        <v>1144</v>
      </c>
      <c r="C250" s="263" t="s">
        <v>869</v>
      </c>
      <c r="D250" s="263" t="s">
        <v>910</v>
      </c>
      <c r="E250" s="263" t="s">
        <v>795</v>
      </c>
      <c r="F250" s="263" t="s">
        <v>978</v>
      </c>
    </row>
    <row r="251" spans="1:6" x14ac:dyDescent="0.25">
      <c r="A251" s="263">
        <v>34350128</v>
      </c>
      <c r="B251" s="263" t="s">
        <v>1145</v>
      </c>
      <c r="C251" s="263" t="s">
        <v>869</v>
      </c>
      <c r="D251" s="263" t="s">
        <v>910</v>
      </c>
      <c r="E251" s="263" t="s">
        <v>795</v>
      </c>
      <c r="F251" s="263" t="s">
        <v>978</v>
      </c>
    </row>
    <row r="252" spans="1:6" x14ac:dyDescent="0.25">
      <c r="A252" s="263">
        <v>34350166</v>
      </c>
      <c r="B252" s="263" t="s">
        <v>463</v>
      </c>
      <c r="C252" s="263" t="s">
        <v>869</v>
      </c>
      <c r="D252" s="263" t="s">
        <v>910</v>
      </c>
      <c r="E252" s="263" t="s">
        <v>795</v>
      </c>
      <c r="F252" s="263" t="s">
        <v>978</v>
      </c>
    </row>
    <row r="253" spans="1:6" x14ac:dyDescent="0.25">
      <c r="A253" s="263">
        <v>34400131</v>
      </c>
      <c r="B253" s="263" t="s">
        <v>1146</v>
      </c>
      <c r="C253" s="263" t="s">
        <v>869</v>
      </c>
      <c r="D253" s="263" t="s">
        <v>910</v>
      </c>
      <c r="E253" s="263" t="s">
        <v>795</v>
      </c>
      <c r="F253" s="263" t="s">
        <v>1147</v>
      </c>
    </row>
    <row r="254" spans="1:6" x14ac:dyDescent="0.25">
      <c r="A254" s="263">
        <v>34400140</v>
      </c>
      <c r="B254" s="263" t="s">
        <v>1148</v>
      </c>
      <c r="C254" s="263" t="s">
        <v>869</v>
      </c>
      <c r="D254" s="263" t="s">
        <v>910</v>
      </c>
      <c r="E254" s="263" t="s">
        <v>795</v>
      </c>
      <c r="F254" s="263" t="s">
        <v>1147</v>
      </c>
    </row>
    <row r="255" spans="1:6" x14ac:dyDescent="0.25">
      <c r="A255" s="263">
        <v>34400199</v>
      </c>
      <c r="B255" s="263" t="s">
        <v>1149</v>
      </c>
      <c r="C255" s="263" t="s">
        <v>869</v>
      </c>
      <c r="D255" s="263" t="s">
        <v>910</v>
      </c>
      <c r="E255" s="263" t="s">
        <v>795</v>
      </c>
      <c r="F255" s="263" t="s">
        <v>1147</v>
      </c>
    </row>
    <row r="256" spans="1:6" x14ac:dyDescent="0.25">
      <c r="A256" s="263">
        <v>34410199</v>
      </c>
      <c r="B256" s="263" t="s">
        <v>1150</v>
      </c>
      <c r="C256" s="263" t="s">
        <v>869</v>
      </c>
      <c r="D256" s="263" t="s">
        <v>910</v>
      </c>
      <c r="E256" s="263" t="s">
        <v>788</v>
      </c>
      <c r="F256" s="263" t="s">
        <v>1151</v>
      </c>
    </row>
    <row r="257" spans="1:6" x14ac:dyDescent="0.25">
      <c r="A257" s="263">
        <v>34410299</v>
      </c>
      <c r="B257" s="263" t="s">
        <v>1152</v>
      </c>
      <c r="C257" s="263" t="s">
        <v>869</v>
      </c>
      <c r="D257" s="263" t="s">
        <v>910</v>
      </c>
      <c r="E257" s="263" t="s">
        <v>795</v>
      </c>
      <c r="F257" s="263" t="s">
        <v>1153</v>
      </c>
    </row>
    <row r="258" spans="1:6" x14ac:dyDescent="0.25">
      <c r="A258" s="263">
        <v>34410399</v>
      </c>
      <c r="B258" s="263" t="s">
        <v>1154</v>
      </c>
      <c r="C258" s="263" t="s">
        <v>869</v>
      </c>
      <c r="D258" s="263" t="s">
        <v>910</v>
      </c>
      <c r="E258" s="263" t="s">
        <v>795</v>
      </c>
      <c r="F258" s="263" t="s">
        <v>1155</v>
      </c>
    </row>
    <row r="259" spans="1:6" x14ac:dyDescent="0.25">
      <c r="A259" s="263">
        <v>34420299</v>
      </c>
      <c r="B259" s="263" t="s">
        <v>1156</v>
      </c>
      <c r="C259" s="263" t="s">
        <v>869</v>
      </c>
      <c r="D259" s="263" t="s">
        <v>910</v>
      </c>
      <c r="E259" s="263" t="s">
        <v>788</v>
      </c>
      <c r="F259" s="263" t="s">
        <v>1157</v>
      </c>
    </row>
    <row r="260" spans="1:6" x14ac:dyDescent="0.25">
      <c r="A260" s="263">
        <v>34430199</v>
      </c>
      <c r="B260" s="263" t="s">
        <v>1158</v>
      </c>
      <c r="C260" s="263" t="s">
        <v>869</v>
      </c>
      <c r="D260" s="263" t="s">
        <v>910</v>
      </c>
      <c r="E260" s="263" t="s">
        <v>788</v>
      </c>
      <c r="F260" s="263" t="s">
        <v>1159</v>
      </c>
    </row>
    <row r="261" spans="1:6" x14ac:dyDescent="0.25">
      <c r="A261" s="263">
        <v>34600199</v>
      </c>
      <c r="B261" s="263" t="s">
        <v>1160</v>
      </c>
      <c r="C261" s="263" t="s">
        <v>869</v>
      </c>
      <c r="D261" s="263" t="s">
        <v>910</v>
      </c>
      <c r="E261" s="263" t="s">
        <v>795</v>
      </c>
      <c r="F261" s="263" t="s">
        <v>1161</v>
      </c>
    </row>
    <row r="262" spans="1:6" x14ac:dyDescent="0.25">
      <c r="A262" s="263">
        <v>34800199</v>
      </c>
      <c r="B262" s="263" t="s">
        <v>984</v>
      </c>
      <c r="C262" s="263" t="s">
        <v>869</v>
      </c>
      <c r="D262" s="263" t="s">
        <v>910</v>
      </c>
      <c r="E262" s="263" t="s">
        <v>795</v>
      </c>
      <c r="F262" s="263" t="s">
        <v>983</v>
      </c>
    </row>
    <row r="263" spans="1:6" x14ac:dyDescent="0.25">
      <c r="A263" s="263">
        <v>34820128</v>
      </c>
      <c r="B263" s="263" t="s">
        <v>1162</v>
      </c>
      <c r="C263" s="263" t="s">
        <v>869</v>
      </c>
      <c r="D263" s="263" t="s">
        <v>910</v>
      </c>
      <c r="E263" s="263" t="s">
        <v>795</v>
      </c>
      <c r="F263" s="263" t="s">
        <v>983</v>
      </c>
    </row>
    <row r="264" spans="1:6" x14ac:dyDescent="0.25">
      <c r="A264" s="263">
        <v>34820199</v>
      </c>
      <c r="B264" s="263" t="s">
        <v>1163</v>
      </c>
      <c r="C264" s="263" t="s">
        <v>869</v>
      </c>
      <c r="D264" s="263" t="s">
        <v>910</v>
      </c>
      <c r="E264" s="263" t="s">
        <v>795</v>
      </c>
      <c r="F264" s="263" t="s">
        <v>983</v>
      </c>
    </row>
    <row r="265" spans="1:6" x14ac:dyDescent="0.25">
      <c r="A265" s="263">
        <v>34980199</v>
      </c>
      <c r="B265" s="263" t="s">
        <v>986</v>
      </c>
      <c r="C265" s="263" t="s">
        <v>869</v>
      </c>
      <c r="D265" s="263" t="s">
        <v>910</v>
      </c>
      <c r="E265" s="263" t="s">
        <v>795</v>
      </c>
      <c r="F265" s="263" t="s">
        <v>983</v>
      </c>
    </row>
    <row r="266" spans="1:6" x14ac:dyDescent="0.25">
      <c r="A266" s="263">
        <v>34980399</v>
      </c>
      <c r="B266" s="263" t="s">
        <v>1164</v>
      </c>
      <c r="C266" s="263" t="s">
        <v>869</v>
      </c>
      <c r="D266" s="263" t="s">
        <v>910</v>
      </c>
      <c r="E266" s="263" t="s">
        <v>788</v>
      </c>
      <c r="F266" s="263" t="s">
        <v>1165</v>
      </c>
    </row>
    <row r="267" spans="1:6" x14ac:dyDescent="0.25">
      <c r="A267" s="263">
        <v>37000199</v>
      </c>
      <c r="B267" s="263" t="s">
        <v>885</v>
      </c>
      <c r="C267" s="263" t="s">
        <v>869</v>
      </c>
      <c r="D267" s="263" t="s">
        <v>910</v>
      </c>
      <c r="E267" s="263" t="s">
        <v>53</v>
      </c>
      <c r="F267" s="263" t="s">
        <v>886</v>
      </c>
    </row>
    <row r="268" spans="1:6" x14ac:dyDescent="0.25">
      <c r="A268" s="263">
        <v>37020199</v>
      </c>
      <c r="B268" s="263" t="s">
        <v>887</v>
      </c>
      <c r="C268" s="263" t="s">
        <v>869</v>
      </c>
      <c r="D268" s="263" t="s">
        <v>910</v>
      </c>
      <c r="E268" s="263" t="s">
        <v>53</v>
      </c>
      <c r="F268" s="263" t="s">
        <v>816</v>
      </c>
    </row>
    <row r="269" spans="1:6" x14ac:dyDescent="0.25">
      <c r="A269" s="263">
        <v>37030199</v>
      </c>
      <c r="B269" s="263" t="s">
        <v>888</v>
      </c>
      <c r="C269" s="263" t="s">
        <v>869</v>
      </c>
      <c r="D269" s="263" t="s">
        <v>910</v>
      </c>
      <c r="E269" s="263" t="s">
        <v>53</v>
      </c>
      <c r="F269" s="263" t="s">
        <v>817</v>
      </c>
    </row>
    <row r="270" spans="1:6" x14ac:dyDescent="0.25">
      <c r="A270" s="263">
        <v>37040199</v>
      </c>
      <c r="B270" s="263" t="s">
        <v>1166</v>
      </c>
      <c r="C270" s="263" t="s">
        <v>869</v>
      </c>
      <c r="D270" s="263" t="s">
        <v>910</v>
      </c>
      <c r="E270" s="263" t="s">
        <v>900</v>
      </c>
      <c r="F270" s="263" t="s">
        <v>1167</v>
      </c>
    </row>
    <row r="271" spans="1:6" x14ac:dyDescent="0.25">
      <c r="A271" s="263">
        <v>37040299</v>
      </c>
      <c r="B271" s="263" t="s">
        <v>1168</v>
      </c>
      <c r="C271" s="263" t="s">
        <v>869</v>
      </c>
      <c r="D271" s="263" t="s">
        <v>910</v>
      </c>
      <c r="E271" s="263" t="s">
        <v>53</v>
      </c>
      <c r="F271" s="263" t="s">
        <v>1169</v>
      </c>
    </row>
    <row r="272" spans="1:6" x14ac:dyDescent="0.25">
      <c r="A272" s="263">
        <v>37050199</v>
      </c>
      <c r="B272" s="263" t="s">
        <v>1170</v>
      </c>
      <c r="C272" s="263" t="s">
        <v>869</v>
      </c>
      <c r="D272" s="263" t="s">
        <v>910</v>
      </c>
      <c r="E272" s="263" t="s">
        <v>53</v>
      </c>
      <c r="F272" s="263" t="s">
        <v>350</v>
      </c>
    </row>
    <row r="273" spans="1:6" x14ac:dyDescent="0.25">
      <c r="A273" s="263">
        <v>37060199</v>
      </c>
      <c r="B273" s="263" t="s">
        <v>989</v>
      </c>
      <c r="C273" s="263" t="s">
        <v>869</v>
      </c>
      <c r="D273" s="263" t="s">
        <v>910</v>
      </c>
      <c r="E273" s="263" t="s">
        <v>921</v>
      </c>
      <c r="F273" s="263" t="s">
        <v>990</v>
      </c>
    </row>
    <row r="274" spans="1:6" x14ac:dyDescent="0.25">
      <c r="A274" s="263">
        <v>37100120</v>
      </c>
      <c r="B274" s="263" t="s">
        <v>1171</v>
      </c>
      <c r="C274" s="263" t="s">
        <v>869</v>
      </c>
      <c r="D274" s="263" t="s">
        <v>910</v>
      </c>
      <c r="E274" s="263" t="s">
        <v>890</v>
      </c>
      <c r="F274" s="263" t="s">
        <v>820</v>
      </c>
    </row>
    <row r="275" spans="1:6" x14ac:dyDescent="0.25">
      <c r="A275" s="263">
        <v>37100126</v>
      </c>
      <c r="B275" s="263" t="s">
        <v>1172</v>
      </c>
      <c r="C275" s="263" t="s">
        <v>869</v>
      </c>
      <c r="D275" s="263" t="s">
        <v>910</v>
      </c>
      <c r="E275" s="263" t="s">
        <v>890</v>
      </c>
      <c r="F275" s="263" t="s">
        <v>820</v>
      </c>
    </row>
    <row r="276" spans="1:6" x14ac:dyDescent="0.25">
      <c r="A276" s="263">
        <v>37100128</v>
      </c>
      <c r="B276" s="263" t="s">
        <v>1173</v>
      </c>
      <c r="C276" s="263" t="s">
        <v>869</v>
      </c>
      <c r="D276" s="263" t="s">
        <v>910</v>
      </c>
      <c r="E276" s="263" t="s">
        <v>890</v>
      </c>
      <c r="F276" s="263" t="s">
        <v>820</v>
      </c>
    </row>
    <row r="277" spans="1:6" x14ac:dyDescent="0.25">
      <c r="A277" s="263">
        <v>37110111</v>
      </c>
      <c r="B277" s="263" t="s">
        <v>1174</v>
      </c>
      <c r="C277" s="263" t="s">
        <v>869</v>
      </c>
      <c r="D277" s="263" t="s">
        <v>910</v>
      </c>
      <c r="E277" s="263" t="s">
        <v>890</v>
      </c>
      <c r="F277" s="263" t="s">
        <v>341</v>
      </c>
    </row>
    <row r="278" spans="1:6" x14ac:dyDescent="0.25">
      <c r="A278" s="263">
        <v>37110113</v>
      </c>
      <c r="B278" s="263" t="s">
        <v>1175</v>
      </c>
      <c r="C278" s="263" t="s">
        <v>869</v>
      </c>
      <c r="D278" s="263" t="s">
        <v>910</v>
      </c>
      <c r="E278" s="263" t="s">
        <v>890</v>
      </c>
      <c r="F278" s="263" t="s">
        <v>341</v>
      </c>
    </row>
    <row r="279" spans="1:6" x14ac:dyDescent="0.25">
      <c r="A279" s="263">
        <v>37110114</v>
      </c>
      <c r="B279" s="263" t="s">
        <v>1176</v>
      </c>
      <c r="C279" s="263" t="s">
        <v>869</v>
      </c>
      <c r="D279" s="263" t="s">
        <v>910</v>
      </c>
      <c r="E279" s="263" t="s">
        <v>890</v>
      </c>
      <c r="F279" s="263" t="s">
        <v>341</v>
      </c>
    </row>
    <row r="280" spans="1:6" x14ac:dyDescent="0.25">
      <c r="A280" s="263">
        <v>37110115</v>
      </c>
      <c r="B280" s="263" t="s">
        <v>1177</v>
      </c>
      <c r="C280" s="263" t="s">
        <v>869</v>
      </c>
      <c r="D280" s="263" t="s">
        <v>910</v>
      </c>
      <c r="E280" s="263" t="s">
        <v>890</v>
      </c>
      <c r="F280" s="263" t="s">
        <v>341</v>
      </c>
    </row>
    <row r="281" spans="1:6" x14ac:dyDescent="0.25">
      <c r="A281" s="263">
        <v>37110120</v>
      </c>
      <c r="B281" s="263" t="s">
        <v>1178</v>
      </c>
      <c r="C281" s="263" t="s">
        <v>869</v>
      </c>
      <c r="D281" s="263" t="s">
        <v>910</v>
      </c>
      <c r="E281" s="263" t="s">
        <v>890</v>
      </c>
      <c r="F281" s="263" t="s">
        <v>341</v>
      </c>
    </row>
    <row r="282" spans="1:6" x14ac:dyDescent="0.25">
      <c r="A282" s="263">
        <v>37110122</v>
      </c>
      <c r="B282" s="263" t="s">
        <v>1179</v>
      </c>
      <c r="C282" s="263" t="s">
        <v>869</v>
      </c>
      <c r="D282" s="263" t="s">
        <v>910</v>
      </c>
      <c r="E282" s="263" t="s">
        <v>890</v>
      </c>
      <c r="F282" s="263" t="s">
        <v>341</v>
      </c>
    </row>
    <row r="283" spans="1:6" x14ac:dyDescent="0.25">
      <c r="A283" s="263">
        <v>37110123</v>
      </c>
      <c r="B283" s="263" t="s">
        <v>1180</v>
      </c>
      <c r="C283" s="263" t="s">
        <v>869</v>
      </c>
      <c r="D283" s="263" t="s">
        <v>910</v>
      </c>
      <c r="E283" s="263" t="s">
        <v>890</v>
      </c>
      <c r="F283" s="263" t="s">
        <v>341</v>
      </c>
    </row>
    <row r="284" spans="1:6" x14ac:dyDescent="0.25">
      <c r="A284" s="263">
        <v>37110124</v>
      </c>
      <c r="B284" s="263" t="s">
        <v>1181</v>
      </c>
      <c r="C284" s="263" t="s">
        <v>869</v>
      </c>
      <c r="D284" s="263" t="s">
        <v>910</v>
      </c>
      <c r="E284" s="263" t="s">
        <v>890</v>
      </c>
      <c r="F284" s="263" t="s">
        <v>341</v>
      </c>
    </row>
    <row r="285" spans="1:6" x14ac:dyDescent="0.25">
      <c r="A285" s="263">
        <v>37110125</v>
      </c>
      <c r="B285" s="263" t="s">
        <v>1182</v>
      </c>
      <c r="C285" s="263" t="s">
        <v>869</v>
      </c>
      <c r="D285" s="263" t="s">
        <v>910</v>
      </c>
      <c r="E285" s="263" t="s">
        <v>890</v>
      </c>
      <c r="F285" s="263" t="s">
        <v>341</v>
      </c>
    </row>
    <row r="286" spans="1:6" x14ac:dyDescent="0.25">
      <c r="A286" s="263">
        <v>37110126</v>
      </c>
      <c r="B286" s="263" t="s">
        <v>1183</v>
      </c>
      <c r="C286" s="263" t="s">
        <v>869</v>
      </c>
      <c r="D286" s="263" t="s">
        <v>910</v>
      </c>
      <c r="E286" s="263" t="s">
        <v>890</v>
      </c>
      <c r="F286" s="263" t="s">
        <v>341</v>
      </c>
    </row>
    <row r="287" spans="1:6" x14ac:dyDescent="0.25">
      <c r="A287" s="263">
        <v>37110128</v>
      </c>
      <c r="B287" s="263" t="s">
        <v>1184</v>
      </c>
      <c r="C287" s="263" t="s">
        <v>869</v>
      </c>
      <c r="D287" s="263" t="s">
        <v>910</v>
      </c>
      <c r="E287" s="263" t="s">
        <v>890</v>
      </c>
      <c r="F287" s="263" t="s">
        <v>341</v>
      </c>
    </row>
    <row r="288" spans="1:6" x14ac:dyDescent="0.25">
      <c r="A288" s="263">
        <v>37110166</v>
      </c>
      <c r="B288" s="263" t="s">
        <v>480</v>
      </c>
      <c r="C288" s="263" t="s">
        <v>869</v>
      </c>
      <c r="D288" s="263" t="s">
        <v>910</v>
      </c>
      <c r="E288" s="263" t="s">
        <v>890</v>
      </c>
      <c r="F288" s="263" t="s">
        <v>341</v>
      </c>
    </row>
    <row r="289" spans="1:6" x14ac:dyDescent="0.25">
      <c r="A289" s="263">
        <v>37110199</v>
      </c>
      <c r="B289" s="263" t="s">
        <v>1185</v>
      </c>
      <c r="C289" s="263" t="s">
        <v>869</v>
      </c>
      <c r="D289" s="263" t="s">
        <v>910</v>
      </c>
      <c r="E289" s="263" t="s">
        <v>890</v>
      </c>
      <c r="F289" s="263" t="s">
        <v>341</v>
      </c>
    </row>
    <row r="290" spans="1:6" x14ac:dyDescent="0.25">
      <c r="A290" s="263">
        <v>37120114</v>
      </c>
      <c r="B290" s="263" t="s">
        <v>482</v>
      </c>
      <c r="C290" s="263" t="s">
        <v>869</v>
      </c>
      <c r="D290" s="263" t="s">
        <v>910</v>
      </c>
      <c r="E290" s="263" t="s">
        <v>890</v>
      </c>
      <c r="F290" s="263" t="s">
        <v>1186</v>
      </c>
    </row>
    <row r="291" spans="1:6" x14ac:dyDescent="0.25">
      <c r="A291" s="263">
        <v>37120115</v>
      </c>
      <c r="B291" s="263" t="s">
        <v>1187</v>
      </c>
      <c r="C291" s="263" t="s">
        <v>869</v>
      </c>
      <c r="D291" s="263" t="s">
        <v>910</v>
      </c>
      <c r="E291" s="263" t="s">
        <v>890</v>
      </c>
      <c r="F291" s="263" t="s">
        <v>1186</v>
      </c>
    </row>
    <row r="292" spans="1:6" x14ac:dyDescent="0.25">
      <c r="A292" s="263">
        <v>37120120</v>
      </c>
      <c r="B292" s="263" t="s">
        <v>1188</v>
      </c>
      <c r="C292" s="263" t="s">
        <v>869</v>
      </c>
      <c r="D292" s="263" t="s">
        <v>910</v>
      </c>
      <c r="E292" s="263" t="s">
        <v>890</v>
      </c>
      <c r="F292" s="263" t="s">
        <v>1186</v>
      </c>
    </row>
    <row r="293" spans="1:6" x14ac:dyDescent="0.25">
      <c r="A293" s="263">
        <v>37120125</v>
      </c>
      <c r="B293" s="263" t="s">
        <v>1189</v>
      </c>
      <c r="C293" s="263" t="s">
        <v>869</v>
      </c>
      <c r="D293" s="263" t="s">
        <v>910</v>
      </c>
      <c r="E293" s="263" t="s">
        <v>890</v>
      </c>
      <c r="F293" s="263" t="s">
        <v>342</v>
      </c>
    </row>
    <row r="294" spans="1:6" x14ac:dyDescent="0.25">
      <c r="A294" s="263">
        <v>37120126</v>
      </c>
      <c r="B294" s="263" t="s">
        <v>1190</v>
      </c>
      <c r="C294" s="263" t="s">
        <v>869</v>
      </c>
      <c r="D294" s="263" t="s">
        <v>910</v>
      </c>
      <c r="E294" s="263" t="s">
        <v>890</v>
      </c>
      <c r="F294" s="263" t="s">
        <v>342</v>
      </c>
    </row>
    <row r="295" spans="1:6" x14ac:dyDescent="0.25">
      <c r="A295" s="263">
        <v>37120127</v>
      </c>
      <c r="B295" s="263" t="s">
        <v>1191</v>
      </c>
      <c r="C295" s="263" t="s">
        <v>869</v>
      </c>
      <c r="D295" s="263" t="s">
        <v>910</v>
      </c>
      <c r="E295" s="263" t="s">
        <v>890</v>
      </c>
      <c r="F295" s="263" t="s">
        <v>342</v>
      </c>
    </row>
    <row r="296" spans="1:6" x14ac:dyDescent="0.25">
      <c r="A296" s="263">
        <v>37120166</v>
      </c>
      <c r="B296" s="263" t="s">
        <v>487</v>
      </c>
      <c r="C296" s="263" t="s">
        <v>869</v>
      </c>
      <c r="D296" s="263" t="s">
        <v>910</v>
      </c>
      <c r="E296" s="263" t="s">
        <v>890</v>
      </c>
      <c r="F296" s="263" t="s">
        <v>342</v>
      </c>
    </row>
    <row r="297" spans="1:6" x14ac:dyDescent="0.25">
      <c r="A297" s="263">
        <v>37120199</v>
      </c>
      <c r="B297" s="263" t="s">
        <v>488</v>
      </c>
      <c r="C297" s="263" t="s">
        <v>869</v>
      </c>
      <c r="D297" s="263" t="s">
        <v>910</v>
      </c>
      <c r="E297" s="263" t="s">
        <v>890</v>
      </c>
      <c r="F297" s="263" t="s">
        <v>342</v>
      </c>
    </row>
    <row r="298" spans="1:6" x14ac:dyDescent="0.25">
      <c r="A298" s="263">
        <v>37130127</v>
      </c>
      <c r="B298" s="263" t="s">
        <v>1192</v>
      </c>
      <c r="C298" s="263" t="s">
        <v>869</v>
      </c>
      <c r="D298" s="263" t="s">
        <v>910</v>
      </c>
      <c r="E298" s="263" t="s">
        <v>890</v>
      </c>
      <c r="F298" s="263" t="s">
        <v>343</v>
      </c>
    </row>
    <row r="299" spans="1:6" x14ac:dyDescent="0.25">
      <c r="A299" s="263">
        <v>37130129</v>
      </c>
      <c r="B299" s="263" t="s">
        <v>1193</v>
      </c>
      <c r="C299" s="263" t="s">
        <v>869</v>
      </c>
      <c r="D299" s="263" t="s">
        <v>910</v>
      </c>
      <c r="E299" s="263" t="s">
        <v>890</v>
      </c>
      <c r="F299" s="263" t="s">
        <v>343</v>
      </c>
    </row>
    <row r="300" spans="1:6" x14ac:dyDescent="0.25">
      <c r="A300" s="263">
        <v>37130145</v>
      </c>
      <c r="B300" s="263" t="s">
        <v>1194</v>
      </c>
      <c r="C300" s="263" t="s">
        <v>869</v>
      </c>
      <c r="D300" s="263" t="s">
        <v>910</v>
      </c>
      <c r="E300" s="263" t="s">
        <v>890</v>
      </c>
      <c r="F300" s="263" t="s">
        <v>343</v>
      </c>
    </row>
    <row r="301" spans="1:6" x14ac:dyDescent="0.25">
      <c r="A301" s="263">
        <v>37130152</v>
      </c>
      <c r="B301" s="263" t="s">
        <v>1195</v>
      </c>
      <c r="C301" s="263" t="s">
        <v>869</v>
      </c>
      <c r="D301" s="263" t="s">
        <v>910</v>
      </c>
      <c r="E301" s="263" t="s">
        <v>890</v>
      </c>
      <c r="F301" s="263" t="s">
        <v>343</v>
      </c>
    </row>
    <row r="302" spans="1:6" x14ac:dyDescent="0.25">
      <c r="A302" s="263">
        <v>37130156</v>
      </c>
      <c r="B302" s="263" t="s">
        <v>1196</v>
      </c>
      <c r="C302" s="263" t="s">
        <v>869</v>
      </c>
      <c r="D302" s="263" t="s">
        <v>910</v>
      </c>
      <c r="E302" s="263" t="s">
        <v>890</v>
      </c>
      <c r="F302" s="263" t="s">
        <v>1197</v>
      </c>
    </row>
    <row r="303" spans="1:6" x14ac:dyDescent="0.25">
      <c r="A303" s="263">
        <v>37140119</v>
      </c>
      <c r="B303" s="263" t="s">
        <v>1198</v>
      </c>
      <c r="C303" s="263" t="s">
        <v>869</v>
      </c>
      <c r="D303" s="263" t="s">
        <v>910</v>
      </c>
      <c r="E303" s="263" t="s">
        <v>890</v>
      </c>
      <c r="F303" s="263" t="s">
        <v>344</v>
      </c>
    </row>
    <row r="304" spans="1:6" x14ac:dyDescent="0.25">
      <c r="A304" s="263">
        <v>37140121</v>
      </c>
      <c r="B304" s="263" t="s">
        <v>1199</v>
      </c>
      <c r="C304" s="263" t="s">
        <v>869</v>
      </c>
      <c r="D304" s="263" t="s">
        <v>910</v>
      </c>
      <c r="E304" s="263" t="s">
        <v>890</v>
      </c>
      <c r="F304" s="263" t="s">
        <v>344</v>
      </c>
    </row>
    <row r="305" spans="1:6" x14ac:dyDescent="0.25">
      <c r="A305" s="263">
        <v>37140166</v>
      </c>
      <c r="B305" s="263" t="s">
        <v>494</v>
      </c>
      <c r="C305" s="263" t="s">
        <v>869</v>
      </c>
      <c r="D305" s="263" t="s">
        <v>910</v>
      </c>
      <c r="E305" s="263" t="s">
        <v>890</v>
      </c>
      <c r="F305" s="263" t="s">
        <v>344</v>
      </c>
    </row>
    <row r="306" spans="1:6" x14ac:dyDescent="0.25">
      <c r="A306" s="263">
        <v>37150199</v>
      </c>
      <c r="B306" s="263" t="s">
        <v>994</v>
      </c>
      <c r="C306" s="263" t="s">
        <v>869</v>
      </c>
      <c r="D306" s="263" t="s">
        <v>910</v>
      </c>
      <c r="E306" s="263" t="s">
        <v>890</v>
      </c>
      <c r="F306" s="263" t="s">
        <v>821</v>
      </c>
    </row>
    <row r="307" spans="1:6" x14ac:dyDescent="0.25">
      <c r="A307" s="263">
        <v>37160111</v>
      </c>
      <c r="B307" s="263" t="s">
        <v>1200</v>
      </c>
      <c r="C307" s="263" t="s">
        <v>869</v>
      </c>
      <c r="D307" s="263" t="s">
        <v>910</v>
      </c>
      <c r="E307" s="263" t="s">
        <v>921</v>
      </c>
      <c r="F307" s="263" t="s">
        <v>352</v>
      </c>
    </row>
    <row r="308" spans="1:6" x14ac:dyDescent="0.25">
      <c r="A308" s="263">
        <v>37160115</v>
      </c>
      <c r="B308" s="263" t="s">
        <v>1201</v>
      </c>
      <c r="C308" s="263" t="s">
        <v>869</v>
      </c>
      <c r="D308" s="263" t="s">
        <v>910</v>
      </c>
      <c r="E308" s="263" t="s">
        <v>921</v>
      </c>
      <c r="F308" s="263" t="s">
        <v>352</v>
      </c>
    </row>
    <row r="309" spans="1:6" x14ac:dyDescent="0.25">
      <c r="A309" s="263">
        <v>37160116</v>
      </c>
      <c r="B309" s="263" t="s">
        <v>1202</v>
      </c>
      <c r="C309" s="263" t="s">
        <v>869</v>
      </c>
      <c r="D309" s="263" t="s">
        <v>910</v>
      </c>
      <c r="E309" s="263" t="s">
        <v>921</v>
      </c>
      <c r="F309" s="263" t="s">
        <v>352</v>
      </c>
    </row>
    <row r="310" spans="1:6" x14ac:dyDescent="0.25">
      <c r="A310" s="263">
        <v>37160120</v>
      </c>
      <c r="B310" s="263" t="s">
        <v>1203</v>
      </c>
      <c r="C310" s="263" t="s">
        <v>869</v>
      </c>
      <c r="D310" s="263" t="s">
        <v>910</v>
      </c>
      <c r="E310" s="263" t="s">
        <v>921</v>
      </c>
      <c r="F310" s="263" t="s">
        <v>352</v>
      </c>
    </row>
    <row r="311" spans="1:6" x14ac:dyDescent="0.25">
      <c r="A311" s="263">
        <v>37160121</v>
      </c>
      <c r="B311" s="263" t="s">
        <v>1204</v>
      </c>
      <c r="C311" s="263" t="s">
        <v>869</v>
      </c>
      <c r="D311" s="263" t="s">
        <v>910</v>
      </c>
      <c r="E311" s="263" t="s">
        <v>921</v>
      </c>
      <c r="F311" s="263" t="s">
        <v>352</v>
      </c>
    </row>
    <row r="312" spans="1:6" x14ac:dyDescent="0.25">
      <c r="A312" s="263">
        <v>37160126</v>
      </c>
      <c r="B312" s="263" t="s">
        <v>1205</v>
      </c>
      <c r="C312" s="263" t="s">
        <v>869</v>
      </c>
      <c r="D312" s="263" t="s">
        <v>910</v>
      </c>
      <c r="E312" s="263" t="s">
        <v>921</v>
      </c>
      <c r="F312" s="263" t="s">
        <v>352</v>
      </c>
    </row>
    <row r="313" spans="1:6" x14ac:dyDescent="0.25">
      <c r="A313" s="263">
        <v>37160128</v>
      </c>
      <c r="B313" s="263" t="s">
        <v>1206</v>
      </c>
      <c r="C313" s="263" t="s">
        <v>869</v>
      </c>
      <c r="D313" s="263" t="s">
        <v>910</v>
      </c>
      <c r="E313" s="263" t="s">
        <v>921</v>
      </c>
      <c r="F313" s="263" t="s">
        <v>352</v>
      </c>
    </row>
    <row r="314" spans="1:6" x14ac:dyDescent="0.25">
      <c r="A314" s="263">
        <v>37160166</v>
      </c>
      <c r="B314" s="263" t="s">
        <v>1207</v>
      </c>
      <c r="C314" s="263" t="s">
        <v>869</v>
      </c>
      <c r="D314" s="263" t="s">
        <v>910</v>
      </c>
      <c r="E314" s="263" t="s">
        <v>921</v>
      </c>
      <c r="F314" s="263" t="s">
        <v>352</v>
      </c>
    </row>
    <row r="315" spans="1:6" x14ac:dyDescent="0.25">
      <c r="A315" s="263">
        <v>37160199</v>
      </c>
      <c r="B315" s="263" t="s">
        <v>1208</v>
      </c>
      <c r="C315" s="263" t="s">
        <v>869</v>
      </c>
      <c r="D315" s="263" t="s">
        <v>910</v>
      </c>
      <c r="E315" s="263" t="s">
        <v>921</v>
      </c>
      <c r="F315" s="263" t="s">
        <v>1209</v>
      </c>
    </row>
    <row r="316" spans="1:6" x14ac:dyDescent="0.25">
      <c r="A316" s="263">
        <v>37160299</v>
      </c>
      <c r="B316" s="263" t="s">
        <v>1210</v>
      </c>
      <c r="C316" s="263" t="s">
        <v>869</v>
      </c>
      <c r="D316" s="263" t="s">
        <v>910</v>
      </c>
      <c r="E316" s="263" t="s">
        <v>921</v>
      </c>
      <c r="F316" s="263" t="s">
        <v>1209</v>
      </c>
    </row>
    <row r="317" spans="1:6" x14ac:dyDescent="0.25">
      <c r="A317" s="288">
        <v>37170114</v>
      </c>
      <c r="B317" s="288" t="s">
        <v>1211</v>
      </c>
      <c r="C317" s="263" t="s">
        <v>869</v>
      </c>
      <c r="D317" s="263" t="s">
        <v>910</v>
      </c>
      <c r="E317" s="263" t="s">
        <v>921</v>
      </c>
      <c r="F317" s="263" t="s">
        <v>1212</v>
      </c>
    </row>
    <row r="318" spans="1:6" x14ac:dyDescent="0.25">
      <c r="A318" s="263">
        <v>37170115</v>
      </c>
      <c r="B318" s="263" t="s">
        <v>1213</v>
      </c>
      <c r="C318" s="263" t="s">
        <v>869</v>
      </c>
      <c r="D318" s="263" t="s">
        <v>910</v>
      </c>
      <c r="E318" s="263" t="s">
        <v>921</v>
      </c>
      <c r="F318" s="263" t="s">
        <v>1212</v>
      </c>
    </row>
    <row r="319" spans="1:6" x14ac:dyDescent="0.25">
      <c r="A319" s="263">
        <v>37170117</v>
      </c>
      <c r="B319" s="263" t="s">
        <v>1213</v>
      </c>
      <c r="C319" s="263" t="s">
        <v>869</v>
      </c>
      <c r="D319" s="263" t="s">
        <v>910</v>
      </c>
      <c r="E319" s="263" t="s">
        <v>921</v>
      </c>
      <c r="F319" s="263" t="s">
        <v>1212</v>
      </c>
    </row>
    <row r="320" spans="1:6" x14ac:dyDescent="0.25">
      <c r="A320" s="263">
        <v>37170120</v>
      </c>
      <c r="B320" s="263" t="s">
        <v>1214</v>
      </c>
      <c r="C320" s="263" t="s">
        <v>869</v>
      </c>
      <c r="D320" s="263" t="s">
        <v>910</v>
      </c>
      <c r="E320" s="263" t="s">
        <v>921</v>
      </c>
      <c r="F320" s="263" t="s">
        <v>1212</v>
      </c>
    </row>
    <row r="321" spans="1:6" x14ac:dyDescent="0.25">
      <c r="A321" s="263">
        <v>37170124</v>
      </c>
      <c r="B321" s="263" t="s">
        <v>1215</v>
      </c>
      <c r="C321" s="263" t="s">
        <v>869</v>
      </c>
      <c r="D321" s="263" t="s">
        <v>910</v>
      </c>
      <c r="E321" s="263" t="s">
        <v>921</v>
      </c>
      <c r="F321" s="263" t="s">
        <v>1212</v>
      </c>
    </row>
    <row r="322" spans="1:6" x14ac:dyDescent="0.25">
      <c r="A322" s="263">
        <v>37170128</v>
      </c>
      <c r="B322" s="263" t="s">
        <v>1216</v>
      </c>
      <c r="C322" s="263" t="s">
        <v>869</v>
      </c>
      <c r="D322" s="263" t="s">
        <v>910</v>
      </c>
      <c r="E322" s="263" t="s">
        <v>921</v>
      </c>
      <c r="F322" s="263" t="s">
        <v>1212</v>
      </c>
    </row>
    <row r="323" spans="1:6" x14ac:dyDescent="0.25">
      <c r="A323" s="263">
        <v>37170166</v>
      </c>
      <c r="B323" s="263" t="s">
        <v>1217</v>
      </c>
      <c r="C323" s="263" t="s">
        <v>869</v>
      </c>
      <c r="D323" s="263" t="s">
        <v>910</v>
      </c>
      <c r="E323" s="263" t="s">
        <v>921</v>
      </c>
      <c r="F323" s="263" t="s">
        <v>1212</v>
      </c>
    </row>
    <row r="324" spans="1:6" x14ac:dyDescent="0.25">
      <c r="A324" s="263">
        <v>37170199</v>
      </c>
      <c r="B324" s="263" t="s">
        <v>1218</v>
      </c>
      <c r="C324" s="263" t="s">
        <v>869</v>
      </c>
      <c r="D324" s="263" t="s">
        <v>910</v>
      </c>
      <c r="E324" s="263" t="s">
        <v>921</v>
      </c>
      <c r="F324" s="263" t="s">
        <v>1212</v>
      </c>
    </row>
    <row r="325" spans="1:6" x14ac:dyDescent="0.25">
      <c r="A325" s="263">
        <v>37180114</v>
      </c>
      <c r="B325" s="263" t="s">
        <v>1219</v>
      </c>
      <c r="C325" s="263" t="s">
        <v>869</v>
      </c>
      <c r="D325" s="263" t="s">
        <v>910</v>
      </c>
      <c r="E325" s="263" t="s">
        <v>921</v>
      </c>
      <c r="F325" s="263" t="s">
        <v>1008</v>
      </c>
    </row>
    <row r="326" spans="1:6" x14ac:dyDescent="0.25">
      <c r="A326" s="263">
        <v>37180115</v>
      </c>
      <c r="B326" s="263" t="s">
        <v>1220</v>
      </c>
      <c r="C326" s="263" t="s">
        <v>869</v>
      </c>
      <c r="D326" s="263" t="s">
        <v>910</v>
      </c>
      <c r="E326" s="263" t="s">
        <v>921</v>
      </c>
      <c r="F326" s="263" t="s">
        <v>1008</v>
      </c>
    </row>
    <row r="327" spans="1:6" x14ac:dyDescent="0.25">
      <c r="A327" s="263">
        <v>37180116</v>
      </c>
      <c r="B327" s="263" t="s">
        <v>1221</v>
      </c>
      <c r="C327" s="263" t="s">
        <v>869</v>
      </c>
      <c r="D327" s="263" t="s">
        <v>910</v>
      </c>
      <c r="E327" s="263" t="s">
        <v>921</v>
      </c>
      <c r="F327" s="263" t="s">
        <v>1008</v>
      </c>
    </row>
    <row r="328" spans="1:6" x14ac:dyDescent="0.25">
      <c r="A328" s="263">
        <v>37180120</v>
      </c>
      <c r="B328" s="263" t="s">
        <v>1222</v>
      </c>
      <c r="C328" s="263" t="s">
        <v>869</v>
      </c>
      <c r="D328" s="263" t="s">
        <v>910</v>
      </c>
      <c r="E328" s="263" t="s">
        <v>921</v>
      </c>
      <c r="F328" s="263" t="s">
        <v>1008</v>
      </c>
    </row>
    <row r="329" spans="1:6" x14ac:dyDescent="0.25">
      <c r="A329" s="263">
        <v>37180125</v>
      </c>
      <c r="B329" s="263" t="s">
        <v>1223</v>
      </c>
      <c r="C329" s="263" t="s">
        <v>869</v>
      </c>
      <c r="D329" s="263" t="s">
        <v>910</v>
      </c>
      <c r="E329" s="263" t="s">
        <v>921</v>
      </c>
      <c r="F329" s="263" t="s">
        <v>1008</v>
      </c>
    </row>
    <row r="330" spans="1:6" x14ac:dyDescent="0.25">
      <c r="A330" s="263">
        <v>37180126</v>
      </c>
      <c r="B330" s="263" t="s">
        <v>1224</v>
      </c>
      <c r="C330" s="263" t="s">
        <v>869</v>
      </c>
      <c r="D330" s="263" t="s">
        <v>910</v>
      </c>
      <c r="E330" s="263" t="s">
        <v>921</v>
      </c>
      <c r="F330" s="263" t="s">
        <v>1008</v>
      </c>
    </row>
    <row r="331" spans="1:6" x14ac:dyDescent="0.25">
      <c r="A331" s="263">
        <v>37180127</v>
      </c>
      <c r="B331" s="263" t="s">
        <v>1225</v>
      </c>
      <c r="C331" s="263" t="s">
        <v>869</v>
      </c>
      <c r="D331" s="263" t="s">
        <v>910</v>
      </c>
      <c r="E331" s="263" t="s">
        <v>921</v>
      </c>
      <c r="F331" s="263" t="s">
        <v>1008</v>
      </c>
    </row>
    <row r="332" spans="1:6" x14ac:dyDescent="0.25">
      <c r="A332" s="263">
        <v>37180128</v>
      </c>
      <c r="B332" s="263" t="s">
        <v>1226</v>
      </c>
      <c r="C332" s="263" t="s">
        <v>869</v>
      </c>
      <c r="D332" s="263" t="s">
        <v>910</v>
      </c>
      <c r="E332" s="263" t="s">
        <v>921</v>
      </c>
      <c r="F332" s="263" t="s">
        <v>1008</v>
      </c>
    </row>
    <row r="333" spans="1:6" x14ac:dyDescent="0.25">
      <c r="A333" s="263">
        <v>37180145</v>
      </c>
      <c r="B333" s="263" t="s">
        <v>505</v>
      </c>
      <c r="C333" s="263" t="s">
        <v>869</v>
      </c>
      <c r="D333" s="263" t="s">
        <v>910</v>
      </c>
      <c r="E333" s="263" t="s">
        <v>921</v>
      </c>
      <c r="F333" s="263" t="s">
        <v>1008</v>
      </c>
    </row>
    <row r="334" spans="1:6" x14ac:dyDescent="0.25">
      <c r="A334" s="263">
        <v>37180199</v>
      </c>
      <c r="B334" s="263" t="s">
        <v>1011</v>
      </c>
      <c r="C334" s="263" t="s">
        <v>869</v>
      </c>
      <c r="D334" s="263" t="s">
        <v>910</v>
      </c>
      <c r="E334" s="263" t="s">
        <v>921</v>
      </c>
      <c r="F334" s="263" t="s">
        <v>1008</v>
      </c>
    </row>
    <row r="335" spans="1:6" x14ac:dyDescent="0.25">
      <c r="A335" s="263">
        <v>37190111</v>
      </c>
      <c r="B335" s="263" t="s">
        <v>1227</v>
      </c>
      <c r="C335" s="263" t="s">
        <v>869</v>
      </c>
      <c r="D335" s="263" t="s">
        <v>910</v>
      </c>
      <c r="E335" s="263" t="s">
        <v>890</v>
      </c>
      <c r="F335" s="263" t="s">
        <v>351</v>
      </c>
    </row>
    <row r="336" spans="1:6" x14ac:dyDescent="0.25">
      <c r="A336" s="263">
        <v>37190114</v>
      </c>
      <c r="B336" s="263" t="s">
        <v>506</v>
      </c>
      <c r="C336" s="263" t="s">
        <v>869</v>
      </c>
      <c r="D336" s="263" t="s">
        <v>910</v>
      </c>
      <c r="E336" s="263" t="s">
        <v>890</v>
      </c>
      <c r="F336" s="263" t="s">
        <v>351</v>
      </c>
    </row>
    <row r="337" spans="1:6" x14ac:dyDescent="0.25">
      <c r="A337" s="263">
        <v>37190115</v>
      </c>
      <c r="B337" s="263" t="s">
        <v>1228</v>
      </c>
      <c r="C337" s="263" t="s">
        <v>869</v>
      </c>
      <c r="D337" s="263" t="s">
        <v>910</v>
      </c>
      <c r="E337" s="263" t="s">
        <v>890</v>
      </c>
      <c r="F337" s="263" t="s">
        <v>351</v>
      </c>
    </row>
    <row r="338" spans="1:6" x14ac:dyDescent="0.25">
      <c r="A338" s="263">
        <v>37190116</v>
      </c>
      <c r="B338" s="263" t="s">
        <v>1229</v>
      </c>
      <c r="C338" s="263" t="s">
        <v>869</v>
      </c>
      <c r="D338" s="263" t="s">
        <v>910</v>
      </c>
      <c r="E338" s="263" t="s">
        <v>921</v>
      </c>
      <c r="F338" s="263" t="s">
        <v>1008</v>
      </c>
    </row>
    <row r="339" spans="1:6" x14ac:dyDescent="0.25">
      <c r="A339" s="263">
        <v>37190117</v>
      </c>
      <c r="B339" s="263" t="s">
        <v>1230</v>
      </c>
      <c r="C339" s="263" t="s">
        <v>869</v>
      </c>
      <c r="D339" s="263" t="s">
        <v>910</v>
      </c>
      <c r="E339" s="263" t="s">
        <v>890</v>
      </c>
      <c r="F339" s="263" t="s">
        <v>351</v>
      </c>
    </row>
    <row r="340" spans="1:6" x14ac:dyDescent="0.25">
      <c r="A340" s="263">
        <v>37190119</v>
      </c>
      <c r="B340" s="263" t="s">
        <v>1231</v>
      </c>
      <c r="C340" s="263" t="s">
        <v>869</v>
      </c>
      <c r="D340" s="263" t="s">
        <v>910</v>
      </c>
      <c r="E340" s="263" t="s">
        <v>890</v>
      </c>
      <c r="F340" s="263" t="s">
        <v>351</v>
      </c>
    </row>
    <row r="341" spans="1:6" x14ac:dyDescent="0.25">
      <c r="A341" s="263">
        <v>37190120</v>
      </c>
      <c r="B341" s="263" t="s">
        <v>1232</v>
      </c>
      <c r="C341" s="263" t="s">
        <v>869</v>
      </c>
      <c r="D341" s="263" t="s">
        <v>910</v>
      </c>
      <c r="E341" s="263" t="s">
        <v>890</v>
      </c>
      <c r="F341" s="263" t="s">
        <v>351</v>
      </c>
    </row>
    <row r="342" spans="1:6" x14ac:dyDescent="0.25">
      <c r="A342" s="263">
        <v>37190121</v>
      </c>
      <c r="B342" s="263" t="s">
        <v>1233</v>
      </c>
      <c r="C342" s="263" t="s">
        <v>869</v>
      </c>
      <c r="D342" s="263" t="s">
        <v>910</v>
      </c>
      <c r="E342" s="263" t="s">
        <v>890</v>
      </c>
      <c r="F342" s="263" t="s">
        <v>351</v>
      </c>
    </row>
    <row r="343" spans="1:6" x14ac:dyDescent="0.25">
      <c r="A343" s="263">
        <v>37190123</v>
      </c>
      <c r="B343" s="263" t="s">
        <v>1234</v>
      </c>
      <c r="C343" s="263" t="s">
        <v>869</v>
      </c>
      <c r="D343" s="263" t="s">
        <v>910</v>
      </c>
      <c r="E343" s="263" t="s">
        <v>890</v>
      </c>
      <c r="F343" s="263" t="s">
        <v>351</v>
      </c>
    </row>
    <row r="344" spans="1:6" x14ac:dyDescent="0.25">
      <c r="A344" s="263">
        <v>37190126</v>
      </c>
      <c r="B344" s="263" t="s">
        <v>509</v>
      </c>
      <c r="C344" s="263" t="s">
        <v>869</v>
      </c>
      <c r="D344" s="263" t="s">
        <v>910</v>
      </c>
      <c r="E344" s="263" t="s">
        <v>890</v>
      </c>
      <c r="F344" s="263" t="s">
        <v>351</v>
      </c>
    </row>
    <row r="345" spans="1:6" x14ac:dyDescent="0.25">
      <c r="A345" s="263">
        <v>37190127</v>
      </c>
      <c r="B345" s="263" t="s">
        <v>1235</v>
      </c>
      <c r="C345" s="263" t="s">
        <v>869</v>
      </c>
      <c r="D345" s="263" t="s">
        <v>910</v>
      </c>
      <c r="E345" s="263" t="s">
        <v>890</v>
      </c>
      <c r="F345" s="263" t="s">
        <v>351</v>
      </c>
    </row>
    <row r="346" spans="1:6" x14ac:dyDescent="0.25">
      <c r="A346" s="263">
        <v>37190128</v>
      </c>
      <c r="B346" s="263" t="s">
        <v>1236</v>
      </c>
      <c r="C346" s="263" t="s">
        <v>869</v>
      </c>
      <c r="D346" s="263" t="s">
        <v>910</v>
      </c>
      <c r="E346" s="263" t="s">
        <v>890</v>
      </c>
      <c r="F346" s="263" t="s">
        <v>351</v>
      </c>
    </row>
    <row r="347" spans="1:6" x14ac:dyDescent="0.25">
      <c r="A347" s="263">
        <v>37190145</v>
      </c>
      <c r="B347" s="263" t="s">
        <v>1237</v>
      </c>
      <c r="C347" s="263" t="s">
        <v>869</v>
      </c>
      <c r="D347" s="263" t="s">
        <v>910</v>
      </c>
      <c r="E347" s="263" t="s">
        <v>890</v>
      </c>
      <c r="F347" s="263" t="s">
        <v>351</v>
      </c>
    </row>
    <row r="348" spans="1:6" x14ac:dyDescent="0.25">
      <c r="A348" s="263">
        <v>37190166</v>
      </c>
      <c r="B348" s="263" t="s">
        <v>511</v>
      </c>
      <c r="C348" s="263" t="s">
        <v>869</v>
      </c>
      <c r="D348" s="263" t="s">
        <v>910</v>
      </c>
      <c r="E348" s="263" t="s">
        <v>890</v>
      </c>
      <c r="F348" s="263" t="s">
        <v>351</v>
      </c>
    </row>
    <row r="349" spans="1:6" x14ac:dyDescent="0.25">
      <c r="A349" s="263">
        <v>37190199</v>
      </c>
      <c r="B349" s="263" t="s">
        <v>1232</v>
      </c>
      <c r="C349" s="263" t="s">
        <v>869</v>
      </c>
      <c r="D349" s="263" t="s">
        <v>910</v>
      </c>
      <c r="E349" s="263" t="s">
        <v>890</v>
      </c>
      <c r="F349" s="263" t="s">
        <v>351</v>
      </c>
    </row>
    <row r="350" spans="1:6" x14ac:dyDescent="0.25">
      <c r="A350" s="263">
        <v>37190311</v>
      </c>
      <c r="B350" s="263" t="s">
        <v>512</v>
      </c>
      <c r="C350" s="263" t="s">
        <v>869</v>
      </c>
      <c r="D350" s="263" t="s">
        <v>910</v>
      </c>
      <c r="E350" s="263" t="s">
        <v>890</v>
      </c>
      <c r="F350" s="263" t="s">
        <v>351</v>
      </c>
    </row>
    <row r="351" spans="1:6" x14ac:dyDescent="0.25">
      <c r="A351" s="263">
        <v>37190315</v>
      </c>
      <c r="B351" s="263" t="s">
        <v>1238</v>
      </c>
      <c r="C351" s="263" t="s">
        <v>869</v>
      </c>
      <c r="D351" s="263" t="s">
        <v>910</v>
      </c>
      <c r="E351" s="263" t="s">
        <v>890</v>
      </c>
      <c r="F351" s="263" t="s">
        <v>351</v>
      </c>
    </row>
    <row r="352" spans="1:6" x14ac:dyDescent="0.25">
      <c r="A352" s="263">
        <v>37190316</v>
      </c>
      <c r="B352" s="263" t="s">
        <v>1239</v>
      </c>
      <c r="C352" s="263" t="s">
        <v>869</v>
      </c>
      <c r="D352" s="263" t="s">
        <v>910</v>
      </c>
      <c r="E352" s="263" t="s">
        <v>890</v>
      </c>
      <c r="F352" s="263" t="s">
        <v>351</v>
      </c>
    </row>
    <row r="353" spans="1:6" x14ac:dyDescent="0.25">
      <c r="A353" s="263">
        <v>37190320</v>
      </c>
      <c r="B353" s="263" t="s">
        <v>1240</v>
      </c>
      <c r="C353" s="263" t="s">
        <v>869</v>
      </c>
      <c r="D353" s="263" t="s">
        <v>910</v>
      </c>
      <c r="E353" s="263" t="s">
        <v>890</v>
      </c>
      <c r="F353" s="263" t="s">
        <v>351</v>
      </c>
    </row>
    <row r="354" spans="1:6" x14ac:dyDescent="0.25">
      <c r="A354" s="263">
        <v>37190322</v>
      </c>
      <c r="B354" s="263" t="s">
        <v>1241</v>
      </c>
      <c r="C354" s="263" t="s">
        <v>869</v>
      </c>
      <c r="D354" s="263" t="s">
        <v>910</v>
      </c>
      <c r="E354" s="263" t="s">
        <v>890</v>
      </c>
      <c r="F354" s="263" t="s">
        <v>351</v>
      </c>
    </row>
    <row r="355" spans="1:6" x14ac:dyDescent="0.25">
      <c r="A355" s="263">
        <v>37190324</v>
      </c>
      <c r="B355" s="263" t="s">
        <v>1242</v>
      </c>
      <c r="C355" s="263" t="s">
        <v>869</v>
      </c>
      <c r="D355" s="263" t="s">
        <v>910</v>
      </c>
      <c r="E355" s="263" t="s">
        <v>890</v>
      </c>
      <c r="F355" s="263" t="s">
        <v>351</v>
      </c>
    </row>
    <row r="356" spans="1:6" x14ac:dyDescent="0.25">
      <c r="A356" s="263">
        <v>37190326</v>
      </c>
      <c r="B356" s="263" t="s">
        <v>1243</v>
      </c>
      <c r="C356" s="263" t="s">
        <v>869</v>
      </c>
      <c r="D356" s="263" t="s">
        <v>910</v>
      </c>
      <c r="E356" s="263" t="s">
        <v>890</v>
      </c>
      <c r="F356" s="263" t="s">
        <v>351</v>
      </c>
    </row>
    <row r="357" spans="1:6" x14ac:dyDescent="0.25">
      <c r="A357" s="263">
        <v>37190327</v>
      </c>
      <c r="B357" s="263" t="s">
        <v>1244</v>
      </c>
      <c r="C357" s="263" t="s">
        <v>869</v>
      </c>
      <c r="D357" s="263" t="s">
        <v>910</v>
      </c>
      <c r="E357" s="263" t="s">
        <v>890</v>
      </c>
      <c r="F357" s="263" t="s">
        <v>351</v>
      </c>
    </row>
    <row r="358" spans="1:6" x14ac:dyDescent="0.25">
      <c r="A358" s="263">
        <v>37190328</v>
      </c>
      <c r="B358" s="263" t="s">
        <v>1245</v>
      </c>
      <c r="C358" s="263" t="s">
        <v>869</v>
      </c>
      <c r="D358" s="263" t="s">
        <v>910</v>
      </c>
      <c r="E358" s="263" t="s">
        <v>890</v>
      </c>
      <c r="F358" s="263" t="s">
        <v>351</v>
      </c>
    </row>
    <row r="359" spans="1:6" x14ac:dyDescent="0.25">
      <c r="A359" s="263">
        <v>37190345</v>
      </c>
      <c r="B359" s="263" t="s">
        <v>1246</v>
      </c>
      <c r="C359" s="263" t="s">
        <v>869</v>
      </c>
      <c r="D359" s="263" t="s">
        <v>910</v>
      </c>
      <c r="E359" s="263" t="s">
        <v>890</v>
      </c>
      <c r="F359" s="263" t="s">
        <v>351</v>
      </c>
    </row>
    <row r="360" spans="1:6" x14ac:dyDescent="0.25">
      <c r="A360" s="263">
        <v>37190366</v>
      </c>
      <c r="B360" s="263" t="s">
        <v>1247</v>
      </c>
      <c r="C360" s="263" t="s">
        <v>869</v>
      </c>
      <c r="D360" s="263" t="s">
        <v>910</v>
      </c>
      <c r="E360" s="263" t="s">
        <v>890</v>
      </c>
      <c r="F360" s="263" t="s">
        <v>351</v>
      </c>
    </row>
    <row r="361" spans="1:6" x14ac:dyDescent="0.25">
      <c r="A361" s="263">
        <v>37190411</v>
      </c>
      <c r="B361" s="263" t="s">
        <v>1248</v>
      </c>
      <c r="C361" s="263" t="s">
        <v>869</v>
      </c>
      <c r="D361" s="263" t="s">
        <v>910</v>
      </c>
      <c r="E361" s="263" t="s">
        <v>890</v>
      </c>
      <c r="F361" s="263" t="s">
        <v>351</v>
      </c>
    </row>
    <row r="362" spans="1:6" x14ac:dyDescent="0.25">
      <c r="A362" s="263">
        <v>37190413</v>
      </c>
      <c r="B362" s="263" t="s">
        <v>1249</v>
      </c>
      <c r="C362" s="263" t="s">
        <v>869</v>
      </c>
      <c r="D362" s="263" t="s">
        <v>910</v>
      </c>
      <c r="E362" s="263" t="s">
        <v>890</v>
      </c>
      <c r="F362" s="263" t="s">
        <v>351</v>
      </c>
    </row>
    <row r="363" spans="1:6" x14ac:dyDescent="0.25">
      <c r="A363" s="263">
        <v>37190415</v>
      </c>
      <c r="B363" s="263" t="s">
        <v>1250</v>
      </c>
      <c r="C363" s="263" t="s">
        <v>869</v>
      </c>
      <c r="D363" s="263" t="s">
        <v>910</v>
      </c>
      <c r="E363" s="263" t="s">
        <v>890</v>
      </c>
      <c r="F363" s="263" t="s">
        <v>351</v>
      </c>
    </row>
    <row r="364" spans="1:6" x14ac:dyDescent="0.25">
      <c r="A364" s="263">
        <v>37190416</v>
      </c>
      <c r="B364" s="263" t="s">
        <v>1251</v>
      </c>
      <c r="C364" s="263" t="s">
        <v>869</v>
      </c>
      <c r="D364" s="263" t="s">
        <v>910</v>
      </c>
      <c r="E364" s="263" t="s">
        <v>890</v>
      </c>
      <c r="F364" s="263" t="s">
        <v>351</v>
      </c>
    </row>
    <row r="365" spans="1:6" x14ac:dyDescent="0.25">
      <c r="A365" s="263">
        <v>37190417</v>
      </c>
      <c r="B365" s="263" t="s">
        <v>1252</v>
      </c>
      <c r="C365" s="263" t="s">
        <v>869</v>
      </c>
      <c r="D365" s="263" t="s">
        <v>910</v>
      </c>
      <c r="E365" s="263" t="s">
        <v>890</v>
      </c>
      <c r="F365" s="263" t="s">
        <v>351</v>
      </c>
    </row>
    <row r="366" spans="1:6" x14ac:dyDescent="0.25">
      <c r="A366" s="263">
        <v>37190421</v>
      </c>
      <c r="B366" s="263" t="s">
        <v>1253</v>
      </c>
      <c r="C366" s="263" t="s">
        <v>869</v>
      </c>
      <c r="D366" s="263" t="s">
        <v>910</v>
      </c>
      <c r="E366" s="263" t="s">
        <v>890</v>
      </c>
      <c r="F366" s="263" t="s">
        <v>351</v>
      </c>
    </row>
    <row r="367" spans="1:6" x14ac:dyDescent="0.25">
      <c r="A367" s="263">
        <v>37190426</v>
      </c>
      <c r="B367" s="263" t="s">
        <v>1254</v>
      </c>
      <c r="C367" s="263" t="s">
        <v>869</v>
      </c>
      <c r="D367" s="263" t="s">
        <v>910</v>
      </c>
      <c r="E367" s="263" t="s">
        <v>890</v>
      </c>
      <c r="F367" s="263" t="s">
        <v>351</v>
      </c>
    </row>
    <row r="368" spans="1:6" x14ac:dyDescent="0.25">
      <c r="A368" s="263">
        <v>37190428</v>
      </c>
      <c r="B368" s="263" t="s">
        <v>1255</v>
      </c>
      <c r="C368" s="263" t="s">
        <v>869</v>
      </c>
      <c r="D368" s="263" t="s">
        <v>910</v>
      </c>
      <c r="E368" s="263" t="s">
        <v>890</v>
      </c>
      <c r="F368" s="263" t="s">
        <v>351</v>
      </c>
    </row>
    <row r="369" spans="1:6" x14ac:dyDescent="0.25">
      <c r="A369" s="263">
        <v>37190466</v>
      </c>
      <c r="B369" s="263" t="s">
        <v>1256</v>
      </c>
      <c r="C369" s="263" t="s">
        <v>869</v>
      </c>
      <c r="D369" s="263" t="s">
        <v>910</v>
      </c>
      <c r="E369" s="263" t="s">
        <v>890</v>
      </c>
      <c r="F369" s="263" t="s">
        <v>351</v>
      </c>
    </row>
    <row r="370" spans="1:6" x14ac:dyDescent="0.25">
      <c r="A370" s="263">
        <v>37190499</v>
      </c>
      <c r="B370" s="263" t="s">
        <v>1257</v>
      </c>
      <c r="C370" s="263" t="s">
        <v>869</v>
      </c>
      <c r="D370" s="263" t="s">
        <v>910</v>
      </c>
      <c r="E370" s="263" t="s">
        <v>890</v>
      </c>
      <c r="F370" s="263" t="s">
        <v>351</v>
      </c>
    </row>
    <row r="371" spans="1:6" x14ac:dyDescent="0.25">
      <c r="A371" s="263">
        <v>37190511</v>
      </c>
      <c r="B371" s="263" t="s">
        <v>517</v>
      </c>
      <c r="C371" s="263" t="s">
        <v>869</v>
      </c>
      <c r="D371" s="263" t="s">
        <v>910</v>
      </c>
      <c r="E371" s="263" t="s">
        <v>890</v>
      </c>
      <c r="F371" s="263" t="s">
        <v>351</v>
      </c>
    </row>
    <row r="372" spans="1:6" x14ac:dyDescent="0.25">
      <c r="A372" s="263">
        <v>37190513</v>
      </c>
      <c r="B372" s="263" t="s">
        <v>1258</v>
      </c>
      <c r="C372" s="263" t="s">
        <v>869</v>
      </c>
      <c r="D372" s="263" t="s">
        <v>910</v>
      </c>
      <c r="E372" s="263" t="s">
        <v>890</v>
      </c>
      <c r="F372" s="263" t="s">
        <v>351</v>
      </c>
    </row>
    <row r="373" spans="1:6" x14ac:dyDescent="0.25">
      <c r="A373" s="263">
        <v>37190514</v>
      </c>
      <c r="B373" s="263" t="s">
        <v>1259</v>
      </c>
      <c r="C373" s="263" t="s">
        <v>869</v>
      </c>
      <c r="D373" s="263" t="s">
        <v>910</v>
      </c>
      <c r="E373" s="263" t="s">
        <v>890</v>
      </c>
      <c r="F373" s="263" t="s">
        <v>351</v>
      </c>
    </row>
    <row r="374" spans="1:6" x14ac:dyDescent="0.25">
      <c r="A374" s="263">
        <v>37190515</v>
      </c>
      <c r="B374" s="263" t="s">
        <v>519</v>
      </c>
      <c r="C374" s="263" t="s">
        <v>869</v>
      </c>
      <c r="D374" s="263" t="s">
        <v>910</v>
      </c>
      <c r="E374" s="263" t="s">
        <v>890</v>
      </c>
      <c r="F374" s="263" t="s">
        <v>351</v>
      </c>
    </row>
    <row r="375" spans="1:6" x14ac:dyDescent="0.25">
      <c r="A375" s="263">
        <v>37190516</v>
      </c>
      <c r="B375" s="263" t="s">
        <v>1260</v>
      </c>
      <c r="C375" s="263" t="s">
        <v>869</v>
      </c>
      <c r="D375" s="263" t="s">
        <v>910</v>
      </c>
      <c r="E375" s="263" t="s">
        <v>890</v>
      </c>
      <c r="F375" s="263" t="s">
        <v>351</v>
      </c>
    </row>
    <row r="376" spans="1:6" x14ac:dyDescent="0.25">
      <c r="A376" s="263">
        <v>37190517</v>
      </c>
      <c r="B376" s="263" t="s">
        <v>1261</v>
      </c>
      <c r="C376" s="263" t="s">
        <v>869</v>
      </c>
      <c r="D376" s="263" t="s">
        <v>910</v>
      </c>
      <c r="E376" s="263" t="s">
        <v>890</v>
      </c>
      <c r="F376" s="263" t="s">
        <v>351</v>
      </c>
    </row>
    <row r="377" spans="1:6" x14ac:dyDescent="0.25">
      <c r="A377" s="263">
        <v>37190520</v>
      </c>
      <c r="B377" s="263" t="s">
        <v>1262</v>
      </c>
      <c r="C377" s="263" t="s">
        <v>869</v>
      </c>
      <c r="D377" s="263" t="s">
        <v>910</v>
      </c>
      <c r="E377" s="263" t="s">
        <v>890</v>
      </c>
      <c r="F377" s="263" t="s">
        <v>351</v>
      </c>
    </row>
    <row r="378" spans="1:6" x14ac:dyDescent="0.25">
      <c r="A378" s="263">
        <v>37190521</v>
      </c>
      <c r="B378" s="263" t="s">
        <v>1263</v>
      </c>
      <c r="C378" s="263" t="s">
        <v>869</v>
      </c>
      <c r="D378" s="263" t="s">
        <v>910</v>
      </c>
      <c r="E378" s="263" t="s">
        <v>890</v>
      </c>
      <c r="F378" s="263" t="s">
        <v>351</v>
      </c>
    </row>
    <row r="379" spans="1:6" x14ac:dyDescent="0.25">
      <c r="A379" s="263">
        <v>37190522</v>
      </c>
      <c r="B379" s="263" t="s">
        <v>1264</v>
      </c>
      <c r="C379" s="263" t="s">
        <v>869</v>
      </c>
      <c r="D379" s="263" t="s">
        <v>910</v>
      </c>
      <c r="E379" s="263" t="s">
        <v>890</v>
      </c>
      <c r="F379" s="263" t="s">
        <v>351</v>
      </c>
    </row>
    <row r="380" spans="1:6" x14ac:dyDescent="0.25">
      <c r="A380" s="263">
        <v>37190523</v>
      </c>
      <c r="B380" s="263" t="s">
        <v>1265</v>
      </c>
      <c r="C380" s="263" t="s">
        <v>869</v>
      </c>
      <c r="D380" s="263" t="s">
        <v>910</v>
      </c>
      <c r="E380" s="263" t="s">
        <v>890</v>
      </c>
      <c r="F380" s="263" t="s">
        <v>351</v>
      </c>
    </row>
    <row r="381" spans="1:6" x14ac:dyDescent="0.25">
      <c r="A381" s="263">
        <v>37190524</v>
      </c>
      <c r="B381" s="263" t="s">
        <v>1266</v>
      </c>
      <c r="C381" s="263" t="s">
        <v>869</v>
      </c>
      <c r="D381" s="263" t="s">
        <v>910</v>
      </c>
      <c r="E381" s="263" t="s">
        <v>890</v>
      </c>
      <c r="F381" s="263" t="s">
        <v>351</v>
      </c>
    </row>
    <row r="382" spans="1:6" x14ac:dyDescent="0.25">
      <c r="A382" s="263">
        <v>37190525</v>
      </c>
      <c r="B382" s="263" t="s">
        <v>1267</v>
      </c>
      <c r="C382" s="263" t="s">
        <v>869</v>
      </c>
      <c r="D382" s="263" t="s">
        <v>910</v>
      </c>
      <c r="E382" s="263" t="s">
        <v>890</v>
      </c>
      <c r="F382" s="263" t="s">
        <v>351</v>
      </c>
    </row>
    <row r="383" spans="1:6" x14ac:dyDescent="0.25">
      <c r="A383" s="263">
        <v>37190526</v>
      </c>
      <c r="B383" s="263" t="s">
        <v>1268</v>
      </c>
      <c r="C383" s="263" t="s">
        <v>869</v>
      </c>
      <c r="D383" s="263" t="s">
        <v>910</v>
      </c>
      <c r="E383" s="263" t="s">
        <v>890</v>
      </c>
      <c r="F383" s="263" t="s">
        <v>351</v>
      </c>
    </row>
    <row r="384" spans="1:6" x14ac:dyDescent="0.25">
      <c r="A384" s="263">
        <v>37190527</v>
      </c>
      <c r="B384" s="263" t="s">
        <v>1269</v>
      </c>
      <c r="C384" s="263" t="s">
        <v>869</v>
      </c>
      <c r="D384" s="263" t="s">
        <v>910</v>
      </c>
      <c r="E384" s="263" t="s">
        <v>890</v>
      </c>
      <c r="F384" s="263" t="s">
        <v>351</v>
      </c>
    </row>
    <row r="385" spans="1:6" x14ac:dyDescent="0.25">
      <c r="A385" s="263">
        <v>37190528</v>
      </c>
      <c r="B385" s="263" t="s">
        <v>1270</v>
      </c>
      <c r="C385" s="263" t="s">
        <v>869</v>
      </c>
      <c r="D385" s="263" t="s">
        <v>910</v>
      </c>
      <c r="E385" s="263" t="s">
        <v>890</v>
      </c>
      <c r="F385" s="263" t="s">
        <v>351</v>
      </c>
    </row>
    <row r="386" spans="1:6" x14ac:dyDescent="0.25">
      <c r="A386" s="263">
        <v>37190529</v>
      </c>
      <c r="B386" s="263" t="s">
        <v>1271</v>
      </c>
      <c r="C386" s="263" t="s">
        <v>869</v>
      </c>
      <c r="D386" s="263" t="s">
        <v>910</v>
      </c>
      <c r="E386" s="263" t="s">
        <v>890</v>
      </c>
      <c r="F386" s="263" t="s">
        <v>351</v>
      </c>
    </row>
    <row r="387" spans="1:6" x14ac:dyDescent="0.25">
      <c r="A387" s="263">
        <v>37190545</v>
      </c>
      <c r="B387" s="263" t="s">
        <v>1272</v>
      </c>
      <c r="C387" s="263" t="s">
        <v>869</v>
      </c>
      <c r="D387" s="263" t="s">
        <v>910</v>
      </c>
      <c r="E387" s="263" t="s">
        <v>890</v>
      </c>
      <c r="F387" s="263" t="s">
        <v>351</v>
      </c>
    </row>
    <row r="388" spans="1:6" x14ac:dyDescent="0.25">
      <c r="A388" s="263">
        <v>37190566</v>
      </c>
      <c r="B388" s="263" t="s">
        <v>524</v>
      </c>
      <c r="C388" s="263" t="s">
        <v>869</v>
      </c>
      <c r="D388" s="263" t="s">
        <v>910</v>
      </c>
      <c r="E388" s="263" t="s">
        <v>890</v>
      </c>
      <c r="F388" s="263" t="s">
        <v>351</v>
      </c>
    </row>
    <row r="389" spans="1:6" x14ac:dyDescent="0.25">
      <c r="A389" s="263">
        <v>37190599</v>
      </c>
      <c r="B389" s="263" t="s">
        <v>934</v>
      </c>
      <c r="C389" s="263" t="s">
        <v>869</v>
      </c>
      <c r="D389" s="263" t="s">
        <v>910</v>
      </c>
      <c r="E389" s="263" t="s">
        <v>890</v>
      </c>
      <c r="F389" s="263" t="s">
        <v>351</v>
      </c>
    </row>
    <row r="390" spans="1:6" x14ac:dyDescent="0.25">
      <c r="A390" s="263">
        <v>37300199</v>
      </c>
      <c r="B390" s="263" t="s">
        <v>899</v>
      </c>
      <c r="C390" s="263" t="s">
        <v>869</v>
      </c>
      <c r="D390" s="263" t="s">
        <v>910</v>
      </c>
      <c r="E390" s="263" t="s">
        <v>900</v>
      </c>
      <c r="F390" s="263" t="s">
        <v>1273</v>
      </c>
    </row>
    <row r="391" spans="1:6" x14ac:dyDescent="0.25">
      <c r="A391" s="263">
        <v>37300299</v>
      </c>
      <c r="B391" s="263" t="s">
        <v>1274</v>
      </c>
      <c r="C391" s="263" t="s">
        <v>869</v>
      </c>
      <c r="D391" s="263" t="s">
        <v>910</v>
      </c>
      <c r="E391" s="263" t="s">
        <v>900</v>
      </c>
      <c r="F391" s="263" t="s">
        <v>1273</v>
      </c>
    </row>
    <row r="392" spans="1:6" x14ac:dyDescent="0.25">
      <c r="A392" s="263">
        <v>37300399</v>
      </c>
      <c r="B392" s="263" t="s">
        <v>899</v>
      </c>
      <c r="C392" s="263" t="s">
        <v>869</v>
      </c>
      <c r="D392" s="263" t="s">
        <v>910</v>
      </c>
      <c r="E392" s="263" t="s">
        <v>900</v>
      </c>
      <c r="F392" s="263" t="s">
        <v>1273</v>
      </c>
    </row>
    <row r="393" spans="1:6" x14ac:dyDescent="0.25">
      <c r="A393" s="263">
        <v>37300999</v>
      </c>
      <c r="B393" s="263" t="s">
        <v>1275</v>
      </c>
      <c r="C393" s="263" t="s">
        <v>869</v>
      </c>
      <c r="D393" s="263" t="s">
        <v>910</v>
      </c>
      <c r="E393" s="263" t="s">
        <v>900</v>
      </c>
      <c r="F393" s="263" t="s">
        <v>1273</v>
      </c>
    </row>
    <row r="394" spans="1:6" x14ac:dyDescent="0.25">
      <c r="A394" s="263">
        <v>37310199</v>
      </c>
      <c r="B394" s="263" t="s">
        <v>902</v>
      </c>
      <c r="C394" s="263" t="s">
        <v>869</v>
      </c>
      <c r="D394" s="263" t="s">
        <v>910</v>
      </c>
      <c r="E394" s="263" t="s">
        <v>900</v>
      </c>
      <c r="F394" s="263" t="s">
        <v>1273</v>
      </c>
    </row>
    <row r="395" spans="1:6" x14ac:dyDescent="0.25">
      <c r="A395" s="263">
        <v>37310299</v>
      </c>
      <c r="B395" s="263" t="s">
        <v>903</v>
      </c>
      <c r="C395" s="263" t="s">
        <v>869</v>
      </c>
      <c r="D395" s="263" t="s">
        <v>910</v>
      </c>
      <c r="E395" s="263" t="s">
        <v>900</v>
      </c>
      <c r="F395" s="263" t="s">
        <v>1273</v>
      </c>
    </row>
    <row r="396" spans="1:6" x14ac:dyDescent="0.25">
      <c r="A396" s="263">
        <v>37310399</v>
      </c>
      <c r="B396" s="263" t="s">
        <v>904</v>
      </c>
      <c r="C396" s="263" t="s">
        <v>869</v>
      </c>
      <c r="D396" s="263" t="s">
        <v>910</v>
      </c>
      <c r="E396" s="263" t="s">
        <v>900</v>
      </c>
      <c r="F396" s="263" t="s">
        <v>1273</v>
      </c>
    </row>
    <row r="397" spans="1:6" x14ac:dyDescent="0.25">
      <c r="A397" s="263">
        <v>37320199</v>
      </c>
      <c r="B397" s="263" t="s">
        <v>905</v>
      </c>
      <c r="C397" s="263" t="s">
        <v>869</v>
      </c>
      <c r="D397" s="263" t="s">
        <v>910</v>
      </c>
      <c r="E397" s="263" t="s">
        <v>900</v>
      </c>
      <c r="F397" s="263" t="s">
        <v>915</v>
      </c>
    </row>
    <row r="398" spans="1:6" x14ac:dyDescent="0.25">
      <c r="A398" s="263">
        <v>37320299</v>
      </c>
      <c r="B398" s="263" t="s">
        <v>907</v>
      </c>
      <c r="C398" s="263" t="s">
        <v>869</v>
      </c>
      <c r="D398" s="263" t="s">
        <v>910</v>
      </c>
      <c r="E398" s="263" t="s">
        <v>900</v>
      </c>
      <c r="F398" s="263" t="s">
        <v>915</v>
      </c>
    </row>
    <row r="399" spans="1:6" x14ac:dyDescent="0.25">
      <c r="A399" s="263">
        <v>37320399</v>
      </c>
      <c r="B399" s="263" t="s">
        <v>908</v>
      </c>
      <c r="C399" s="263" t="s">
        <v>869</v>
      </c>
      <c r="D399" s="263" t="s">
        <v>910</v>
      </c>
      <c r="E399" s="263" t="s">
        <v>900</v>
      </c>
      <c r="F399" s="263" t="s">
        <v>915</v>
      </c>
    </row>
    <row r="400" spans="1:6" x14ac:dyDescent="0.25">
      <c r="A400" s="263">
        <v>37330199</v>
      </c>
      <c r="B400" s="263" t="s">
        <v>1276</v>
      </c>
      <c r="C400" s="263" t="s">
        <v>869</v>
      </c>
      <c r="D400" s="263" t="s">
        <v>910</v>
      </c>
      <c r="E400" s="263" t="s">
        <v>900</v>
      </c>
      <c r="F400" s="263" t="s">
        <v>915</v>
      </c>
    </row>
    <row r="401" spans="1:6" x14ac:dyDescent="0.25">
      <c r="A401" s="263">
        <v>37330299</v>
      </c>
      <c r="B401" s="263" t="s">
        <v>1277</v>
      </c>
      <c r="C401" s="263" t="s">
        <v>869</v>
      </c>
      <c r="D401" s="263" t="s">
        <v>910</v>
      </c>
      <c r="E401" s="263" t="s">
        <v>900</v>
      </c>
      <c r="F401" s="263" t="s">
        <v>915</v>
      </c>
    </row>
    <row r="402" spans="1:6" x14ac:dyDescent="0.25">
      <c r="A402" s="263">
        <v>37330399</v>
      </c>
      <c r="B402" s="263" t="s">
        <v>1278</v>
      </c>
      <c r="C402" s="263" t="s">
        <v>869</v>
      </c>
      <c r="D402" s="263" t="s">
        <v>910</v>
      </c>
      <c r="E402" s="263" t="s">
        <v>900</v>
      </c>
      <c r="F402" s="263" t="s">
        <v>915</v>
      </c>
    </row>
    <row r="403" spans="1:6" x14ac:dyDescent="0.25">
      <c r="A403" s="263">
        <v>37340199</v>
      </c>
      <c r="B403" s="263" t="s">
        <v>1279</v>
      </c>
      <c r="C403" s="263" t="s">
        <v>869</v>
      </c>
      <c r="D403" s="263" t="s">
        <v>910</v>
      </c>
      <c r="E403" s="263" t="s">
        <v>900</v>
      </c>
      <c r="F403" s="263" t="s">
        <v>915</v>
      </c>
    </row>
    <row r="404" spans="1:6" x14ac:dyDescent="0.25">
      <c r="A404" s="263">
        <v>37340299</v>
      </c>
      <c r="B404" s="263" t="s">
        <v>1280</v>
      </c>
      <c r="C404" s="263" t="s">
        <v>869</v>
      </c>
      <c r="D404" s="263" t="s">
        <v>910</v>
      </c>
      <c r="E404" s="263" t="s">
        <v>900</v>
      </c>
      <c r="F404" s="263" t="s">
        <v>1281</v>
      </c>
    </row>
    <row r="405" spans="1:6" x14ac:dyDescent="0.25">
      <c r="A405" s="263">
        <v>37340399</v>
      </c>
      <c r="B405" s="263" t="s">
        <v>1282</v>
      </c>
      <c r="C405" s="263" t="s">
        <v>869</v>
      </c>
      <c r="D405" s="263" t="s">
        <v>910</v>
      </c>
      <c r="E405" s="263" t="s">
        <v>900</v>
      </c>
      <c r="F405" s="263" t="s">
        <v>1281</v>
      </c>
    </row>
    <row r="406" spans="1:6" x14ac:dyDescent="0.25">
      <c r="A406" s="263">
        <v>37350199</v>
      </c>
      <c r="B406" s="263" t="s">
        <v>1283</v>
      </c>
      <c r="C406" s="263" t="s">
        <v>869</v>
      </c>
      <c r="D406" s="263" t="s">
        <v>910</v>
      </c>
      <c r="E406" s="263" t="s">
        <v>900</v>
      </c>
      <c r="F406" s="263" t="s">
        <v>1281</v>
      </c>
    </row>
    <row r="407" spans="1:6" x14ac:dyDescent="0.25">
      <c r="A407" s="263">
        <v>37350299</v>
      </c>
      <c r="B407" s="263" t="s">
        <v>1284</v>
      </c>
      <c r="C407" s="263" t="s">
        <v>869</v>
      </c>
      <c r="D407" s="263" t="s">
        <v>910</v>
      </c>
      <c r="E407" s="263" t="s">
        <v>900</v>
      </c>
      <c r="F407" s="263" t="s">
        <v>1281</v>
      </c>
    </row>
    <row r="408" spans="1:6" x14ac:dyDescent="0.25">
      <c r="A408" s="263">
        <v>37350399</v>
      </c>
      <c r="B408" s="263" t="s">
        <v>1285</v>
      </c>
      <c r="C408" s="263" t="s">
        <v>869</v>
      </c>
      <c r="D408" s="263" t="s">
        <v>910</v>
      </c>
      <c r="E408" s="263" t="s">
        <v>921</v>
      </c>
      <c r="F408" s="263" t="s">
        <v>1286</v>
      </c>
    </row>
    <row r="409" spans="1:6" x14ac:dyDescent="0.25">
      <c r="A409" s="263">
        <v>37360199</v>
      </c>
      <c r="B409" s="263" t="s">
        <v>913</v>
      </c>
      <c r="C409" s="263" t="s">
        <v>869</v>
      </c>
      <c r="D409" s="263" t="s">
        <v>910</v>
      </c>
      <c r="E409" s="263" t="s">
        <v>900</v>
      </c>
      <c r="F409" s="263" t="s">
        <v>1273</v>
      </c>
    </row>
    <row r="410" spans="1:6" x14ac:dyDescent="0.25">
      <c r="A410" s="263">
        <v>37360299</v>
      </c>
      <c r="B410" s="263" t="s">
        <v>914</v>
      </c>
      <c r="C410" s="263" t="s">
        <v>869</v>
      </c>
      <c r="D410" s="263" t="s">
        <v>910</v>
      </c>
      <c r="E410" s="263" t="s">
        <v>900</v>
      </c>
      <c r="F410" s="263" t="s">
        <v>1273</v>
      </c>
    </row>
    <row r="411" spans="1:6" x14ac:dyDescent="0.25">
      <c r="A411" s="263">
        <v>37360399</v>
      </c>
      <c r="B411" s="263" t="s">
        <v>916</v>
      </c>
      <c r="C411" s="263" t="s">
        <v>869</v>
      </c>
      <c r="D411" s="263" t="s">
        <v>910</v>
      </c>
      <c r="E411" s="263" t="s">
        <v>900</v>
      </c>
      <c r="F411" s="263" t="s">
        <v>1273</v>
      </c>
    </row>
    <row r="412" spans="1:6" x14ac:dyDescent="0.25">
      <c r="A412" s="263">
        <v>37370199</v>
      </c>
      <c r="B412" s="263" t="s">
        <v>917</v>
      </c>
      <c r="C412" s="263" t="s">
        <v>869</v>
      </c>
      <c r="D412" s="263" t="s">
        <v>910</v>
      </c>
      <c r="E412" s="263" t="s">
        <v>900</v>
      </c>
      <c r="F412" s="263" t="s">
        <v>1273</v>
      </c>
    </row>
    <row r="413" spans="1:6" x14ac:dyDescent="0.25">
      <c r="A413" s="263">
        <v>37370299</v>
      </c>
      <c r="B413" s="263" t="s">
        <v>1287</v>
      </c>
      <c r="C413" s="263" t="s">
        <v>869</v>
      </c>
      <c r="D413" s="263" t="s">
        <v>910</v>
      </c>
      <c r="E413" s="263" t="s">
        <v>900</v>
      </c>
      <c r="F413" s="263" t="s">
        <v>1273</v>
      </c>
    </row>
    <row r="414" spans="1:6" x14ac:dyDescent="0.25">
      <c r="A414" s="263">
        <v>37370399</v>
      </c>
      <c r="B414" s="263" t="s">
        <v>919</v>
      </c>
      <c r="C414" s="263" t="s">
        <v>869</v>
      </c>
      <c r="D414" s="263" t="s">
        <v>910</v>
      </c>
      <c r="E414" s="263" t="s">
        <v>900</v>
      </c>
      <c r="F414" s="263" t="s">
        <v>1273</v>
      </c>
    </row>
    <row r="415" spans="1:6" x14ac:dyDescent="0.25">
      <c r="A415" s="263">
        <v>37410218</v>
      </c>
      <c r="B415" s="263" t="s">
        <v>1288</v>
      </c>
      <c r="C415" s="263" t="s">
        <v>869</v>
      </c>
      <c r="D415" s="263" t="s">
        <v>910</v>
      </c>
      <c r="E415" s="263" t="s">
        <v>921</v>
      </c>
      <c r="F415" s="263" t="s">
        <v>282</v>
      </c>
    </row>
    <row r="416" spans="1:6" x14ac:dyDescent="0.25">
      <c r="A416" s="263">
        <v>37410220</v>
      </c>
      <c r="B416" s="263" t="s">
        <v>1289</v>
      </c>
      <c r="C416" s="263" t="s">
        <v>869</v>
      </c>
      <c r="D416" s="263" t="s">
        <v>910</v>
      </c>
      <c r="E416" s="263" t="s">
        <v>921</v>
      </c>
      <c r="F416" s="263" t="s">
        <v>282</v>
      </c>
    </row>
    <row r="417" spans="1:6" x14ac:dyDescent="0.25">
      <c r="A417" s="263">
        <v>37410226</v>
      </c>
      <c r="B417" s="263" t="s">
        <v>1290</v>
      </c>
      <c r="C417" s="263" t="s">
        <v>869</v>
      </c>
      <c r="D417" s="263" t="s">
        <v>910</v>
      </c>
      <c r="E417" s="263" t="s">
        <v>921</v>
      </c>
      <c r="F417" s="263" t="s">
        <v>282</v>
      </c>
    </row>
    <row r="418" spans="1:6" x14ac:dyDescent="0.25">
      <c r="A418" s="263">
        <v>37410229</v>
      </c>
      <c r="B418" s="263" t="s">
        <v>1291</v>
      </c>
      <c r="C418" s="263" t="s">
        <v>869</v>
      </c>
      <c r="D418" s="263" t="s">
        <v>910</v>
      </c>
      <c r="E418" s="263" t="s">
        <v>921</v>
      </c>
      <c r="F418" s="263" t="s">
        <v>282</v>
      </c>
    </row>
    <row r="419" spans="1:6" x14ac:dyDescent="0.25">
      <c r="A419" s="263">
        <v>37410230</v>
      </c>
      <c r="B419" s="263" t="s">
        <v>1292</v>
      </c>
      <c r="C419" s="263" t="s">
        <v>869</v>
      </c>
      <c r="D419" s="263" t="s">
        <v>910</v>
      </c>
      <c r="E419" s="263" t="s">
        <v>921</v>
      </c>
      <c r="F419" s="263" t="s">
        <v>282</v>
      </c>
    </row>
    <row r="420" spans="1:6" x14ac:dyDescent="0.25">
      <c r="A420" s="263">
        <v>37410231</v>
      </c>
      <c r="B420" s="263" t="s">
        <v>1293</v>
      </c>
      <c r="C420" s="263" t="s">
        <v>869</v>
      </c>
      <c r="D420" s="263" t="s">
        <v>910</v>
      </c>
      <c r="E420" s="263" t="s">
        <v>921</v>
      </c>
      <c r="F420" s="263" t="s">
        <v>282</v>
      </c>
    </row>
    <row r="421" spans="1:6" x14ac:dyDescent="0.25">
      <c r="A421" s="263">
        <v>37410236</v>
      </c>
      <c r="B421" s="263" t="s">
        <v>1294</v>
      </c>
      <c r="C421" s="263" t="s">
        <v>869</v>
      </c>
      <c r="D421" s="263" t="s">
        <v>910</v>
      </c>
      <c r="E421" s="263" t="s">
        <v>921</v>
      </c>
      <c r="F421" s="263" t="s">
        <v>282</v>
      </c>
    </row>
    <row r="422" spans="1:6" x14ac:dyDescent="0.25">
      <c r="A422" s="263">
        <v>37410237</v>
      </c>
      <c r="B422" s="263" t="s">
        <v>1295</v>
      </c>
      <c r="C422" s="263" t="s">
        <v>869</v>
      </c>
      <c r="D422" s="263" t="s">
        <v>910</v>
      </c>
      <c r="E422" s="263" t="s">
        <v>921</v>
      </c>
      <c r="F422" s="263" t="s">
        <v>282</v>
      </c>
    </row>
    <row r="423" spans="1:6" x14ac:dyDescent="0.25">
      <c r="A423" s="263">
        <v>37410238</v>
      </c>
      <c r="B423" s="263" t="s">
        <v>1296</v>
      </c>
      <c r="C423" s="263" t="s">
        <v>869</v>
      </c>
      <c r="D423" s="263" t="s">
        <v>910</v>
      </c>
      <c r="E423" s="263" t="s">
        <v>921</v>
      </c>
      <c r="F423" s="263" t="s">
        <v>282</v>
      </c>
    </row>
    <row r="424" spans="1:6" x14ac:dyDescent="0.25">
      <c r="A424" s="263">
        <v>37410240</v>
      </c>
      <c r="B424" s="263" t="s">
        <v>1297</v>
      </c>
      <c r="C424" s="263" t="s">
        <v>869</v>
      </c>
      <c r="D424" s="263" t="s">
        <v>910</v>
      </c>
      <c r="E424" s="263" t="s">
        <v>921</v>
      </c>
      <c r="F424" s="263" t="s">
        <v>282</v>
      </c>
    </row>
    <row r="425" spans="1:6" x14ac:dyDescent="0.25">
      <c r="A425" s="263">
        <v>37410241</v>
      </c>
      <c r="B425" s="263" t="s">
        <v>1298</v>
      </c>
      <c r="C425" s="263" t="s">
        <v>869</v>
      </c>
      <c r="D425" s="263" t="s">
        <v>910</v>
      </c>
      <c r="E425" s="263" t="s">
        <v>921</v>
      </c>
      <c r="F425" s="263" t="s">
        <v>282</v>
      </c>
    </row>
    <row r="426" spans="1:6" x14ac:dyDescent="0.25">
      <c r="A426" s="263">
        <v>37410243</v>
      </c>
      <c r="B426" s="263" t="s">
        <v>1299</v>
      </c>
      <c r="C426" s="263" t="s">
        <v>869</v>
      </c>
      <c r="D426" s="263" t="s">
        <v>910</v>
      </c>
      <c r="E426" s="263" t="s">
        <v>921</v>
      </c>
      <c r="F426" s="263" t="s">
        <v>282</v>
      </c>
    </row>
    <row r="427" spans="1:6" x14ac:dyDescent="0.25">
      <c r="A427" s="263">
        <v>37410249</v>
      </c>
      <c r="B427" s="263" t="s">
        <v>1300</v>
      </c>
      <c r="C427" s="263" t="s">
        <v>869</v>
      </c>
      <c r="D427" s="263" t="s">
        <v>910</v>
      </c>
      <c r="E427" s="263" t="s">
        <v>921</v>
      </c>
      <c r="F427" s="263" t="s">
        <v>282</v>
      </c>
    </row>
    <row r="428" spans="1:6" x14ac:dyDescent="0.25">
      <c r="A428" s="263">
        <v>37410259</v>
      </c>
      <c r="B428" s="263" t="s">
        <v>1301</v>
      </c>
      <c r="C428" s="263" t="s">
        <v>869</v>
      </c>
      <c r="D428" s="263" t="s">
        <v>910</v>
      </c>
      <c r="E428" s="263" t="s">
        <v>921</v>
      </c>
      <c r="F428" s="263" t="s">
        <v>282</v>
      </c>
    </row>
    <row r="429" spans="1:6" x14ac:dyDescent="0.25">
      <c r="A429" s="263">
        <v>37410299</v>
      </c>
      <c r="B429" s="263" t="s">
        <v>1302</v>
      </c>
      <c r="C429" s="263" t="s">
        <v>869</v>
      </c>
      <c r="D429" s="263" t="s">
        <v>910</v>
      </c>
      <c r="E429" s="263" t="s">
        <v>921</v>
      </c>
      <c r="F429" s="263" t="s">
        <v>282</v>
      </c>
    </row>
    <row r="430" spans="1:6" x14ac:dyDescent="0.25">
      <c r="A430" s="263">
        <v>37410354</v>
      </c>
      <c r="B430" s="263" t="s">
        <v>1303</v>
      </c>
      <c r="C430" s="263" t="s">
        <v>869</v>
      </c>
      <c r="D430" s="263" t="s">
        <v>910</v>
      </c>
      <c r="E430" s="263" t="s">
        <v>890</v>
      </c>
      <c r="F430" s="263" t="s">
        <v>351</v>
      </c>
    </row>
    <row r="431" spans="1:6" x14ac:dyDescent="0.25">
      <c r="A431" s="263">
        <v>37410399</v>
      </c>
      <c r="B431" s="263" t="s">
        <v>1304</v>
      </c>
      <c r="C431" s="263" t="s">
        <v>869</v>
      </c>
      <c r="D431" s="263" t="s">
        <v>910</v>
      </c>
      <c r="E431" s="263" t="s">
        <v>890</v>
      </c>
      <c r="F431" s="263" t="s">
        <v>351</v>
      </c>
    </row>
    <row r="432" spans="1:6" x14ac:dyDescent="0.25">
      <c r="A432" s="263">
        <v>37420120</v>
      </c>
      <c r="B432" s="263" t="s">
        <v>1305</v>
      </c>
      <c r="C432" s="263" t="s">
        <v>869</v>
      </c>
      <c r="D432" s="263" t="s">
        <v>910</v>
      </c>
      <c r="E432" s="263" t="s">
        <v>921</v>
      </c>
      <c r="F432" s="263" t="s">
        <v>282</v>
      </c>
    </row>
    <row r="433" spans="1:6" x14ac:dyDescent="0.25">
      <c r="A433" s="263">
        <v>37420126</v>
      </c>
      <c r="B433" s="263" t="s">
        <v>1306</v>
      </c>
      <c r="C433" s="263" t="s">
        <v>869</v>
      </c>
      <c r="D433" s="263" t="s">
        <v>910</v>
      </c>
      <c r="E433" s="263" t="s">
        <v>921</v>
      </c>
      <c r="F433" s="263" t="s">
        <v>1307</v>
      </c>
    </row>
    <row r="434" spans="1:6" x14ac:dyDescent="0.25">
      <c r="A434" s="263">
        <v>37420127</v>
      </c>
      <c r="B434" s="263" t="s">
        <v>1308</v>
      </c>
      <c r="C434" s="263" t="s">
        <v>869</v>
      </c>
      <c r="D434" s="263" t="s">
        <v>910</v>
      </c>
      <c r="E434" s="263" t="s">
        <v>921</v>
      </c>
      <c r="F434" s="263" t="s">
        <v>1309</v>
      </c>
    </row>
    <row r="435" spans="1:6" x14ac:dyDescent="0.25">
      <c r="A435" s="263">
        <v>37420130</v>
      </c>
      <c r="B435" s="263" t="s">
        <v>1310</v>
      </c>
      <c r="C435" s="263" t="s">
        <v>869</v>
      </c>
      <c r="D435" s="263" t="s">
        <v>910</v>
      </c>
      <c r="E435" s="263" t="s">
        <v>921</v>
      </c>
      <c r="F435" s="263" t="s">
        <v>1309</v>
      </c>
    </row>
    <row r="436" spans="1:6" x14ac:dyDescent="0.25">
      <c r="A436" s="263">
        <v>37420131</v>
      </c>
      <c r="B436" s="263" t="s">
        <v>1311</v>
      </c>
      <c r="C436" s="263" t="s">
        <v>869</v>
      </c>
      <c r="D436" s="263" t="s">
        <v>910</v>
      </c>
      <c r="E436" s="263" t="s">
        <v>921</v>
      </c>
      <c r="F436" s="263" t="s">
        <v>1309</v>
      </c>
    </row>
    <row r="437" spans="1:6" x14ac:dyDescent="0.25">
      <c r="A437" s="263">
        <v>37420135</v>
      </c>
      <c r="B437" s="263" t="s">
        <v>1312</v>
      </c>
      <c r="C437" s="263" t="s">
        <v>869</v>
      </c>
      <c r="D437" s="263" t="s">
        <v>910</v>
      </c>
      <c r="E437" s="263" t="s">
        <v>921</v>
      </c>
      <c r="F437" s="263" t="s">
        <v>1309</v>
      </c>
    </row>
    <row r="438" spans="1:6" x14ac:dyDescent="0.25">
      <c r="A438" s="263">
        <v>37420136</v>
      </c>
      <c r="B438" s="263" t="s">
        <v>1313</v>
      </c>
      <c r="C438" s="263" t="s">
        <v>869</v>
      </c>
      <c r="D438" s="263" t="s">
        <v>910</v>
      </c>
      <c r="E438" s="263" t="s">
        <v>921</v>
      </c>
      <c r="F438" s="263" t="s">
        <v>1309</v>
      </c>
    </row>
    <row r="439" spans="1:6" x14ac:dyDescent="0.25">
      <c r="A439" s="263">
        <v>37420137</v>
      </c>
      <c r="B439" s="263" t="s">
        <v>1314</v>
      </c>
      <c r="C439" s="263" t="s">
        <v>869</v>
      </c>
      <c r="D439" s="263" t="s">
        <v>910</v>
      </c>
      <c r="E439" s="263" t="s">
        <v>921</v>
      </c>
      <c r="F439" s="263" t="s">
        <v>1309</v>
      </c>
    </row>
    <row r="440" spans="1:6" x14ac:dyDescent="0.25">
      <c r="A440" s="263">
        <v>37420138</v>
      </c>
      <c r="B440" s="263" t="s">
        <v>1315</v>
      </c>
      <c r="C440" s="263" t="s">
        <v>869</v>
      </c>
      <c r="D440" s="263" t="s">
        <v>910</v>
      </c>
      <c r="E440" s="263" t="s">
        <v>921</v>
      </c>
      <c r="F440" s="263" t="s">
        <v>1309</v>
      </c>
    </row>
    <row r="441" spans="1:6" x14ac:dyDescent="0.25">
      <c r="A441" s="263">
        <v>37420139</v>
      </c>
      <c r="B441" s="263" t="s">
        <v>1316</v>
      </c>
      <c r="C441" s="263" t="s">
        <v>869</v>
      </c>
      <c r="D441" s="263" t="s">
        <v>910</v>
      </c>
      <c r="E441" s="263" t="s">
        <v>921</v>
      </c>
      <c r="F441" s="263" t="s">
        <v>1309</v>
      </c>
    </row>
    <row r="442" spans="1:6" x14ac:dyDescent="0.25">
      <c r="A442" s="263">
        <v>37420140</v>
      </c>
      <c r="B442" s="263" t="s">
        <v>1317</v>
      </c>
      <c r="C442" s="263" t="s">
        <v>869</v>
      </c>
      <c r="D442" s="263" t="s">
        <v>910</v>
      </c>
      <c r="E442" s="263" t="s">
        <v>921</v>
      </c>
      <c r="F442" s="263" t="s">
        <v>1309</v>
      </c>
    </row>
    <row r="443" spans="1:6" x14ac:dyDescent="0.25">
      <c r="A443" s="263">
        <v>37420141</v>
      </c>
      <c r="B443" s="263" t="s">
        <v>1318</v>
      </c>
      <c r="C443" s="263" t="s">
        <v>869</v>
      </c>
      <c r="D443" s="263" t="s">
        <v>910</v>
      </c>
      <c r="E443" s="263" t="s">
        <v>921</v>
      </c>
      <c r="F443" s="263" t="s">
        <v>1309</v>
      </c>
    </row>
    <row r="444" spans="1:6" x14ac:dyDescent="0.25">
      <c r="A444" s="263">
        <v>37420143</v>
      </c>
      <c r="B444" s="263" t="s">
        <v>1319</v>
      </c>
      <c r="C444" s="263" t="s">
        <v>869</v>
      </c>
      <c r="D444" s="263" t="s">
        <v>910</v>
      </c>
      <c r="E444" s="263" t="s">
        <v>921</v>
      </c>
      <c r="F444" s="263" t="s">
        <v>1309</v>
      </c>
    </row>
    <row r="445" spans="1:6" x14ac:dyDescent="0.25">
      <c r="A445" s="263">
        <v>37420145</v>
      </c>
      <c r="B445" s="263" t="s">
        <v>1320</v>
      </c>
      <c r="C445" s="263" t="s">
        <v>869</v>
      </c>
      <c r="D445" s="263" t="s">
        <v>910</v>
      </c>
      <c r="E445" s="263" t="s">
        <v>921</v>
      </c>
      <c r="F445" s="263" t="s">
        <v>1309</v>
      </c>
    </row>
    <row r="446" spans="1:6" x14ac:dyDescent="0.25">
      <c r="A446" s="263">
        <v>37420159</v>
      </c>
      <c r="B446" s="263" t="s">
        <v>1321</v>
      </c>
      <c r="C446" s="263" t="s">
        <v>869</v>
      </c>
      <c r="D446" s="263" t="s">
        <v>910</v>
      </c>
      <c r="E446" s="263" t="s">
        <v>921</v>
      </c>
      <c r="F446" s="263" t="s">
        <v>1309</v>
      </c>
    </row>
    <row r="447" spans="1:6" x14ac:dyDescent="0.25">
      <c r="A447" s="263">
        <v>37420166</v>
      </c>
      <c r="B447" s="263" t="s">
        <v>1322</v>
      </c>
      <c r="C447" s="263" t="s">
        <v>869</v>
      </c>
      <c r="D447" s="263" t="s">
        <v>910</v>
      </c>
      <c r="E447" s="263" t="s">
        <v>890</v>
      </c>
      <c r="F447" s="263" t="s">
        <v>351</v>
      </c>
    </row>
    <row r="448" spans="1:6" x14ac:dyDescent="0.25">
      <c r="A448" s="263">
        <v>37420170</v>
      </c>
      <c r="B448" s="263" t="s">
        <v>1323</v>
      </c>
      <c r="C448" s="263" t="s">
        <v>869</v>
      </c>
      <c r="D448" s="263" t="s">
        <v>910</v>
      </c>
      <c r="E448" s="263" t="s">
        <v>921</v>
      </c>
      <c r="F448" s="263" t="s">
        <v>1309</v>
      </c>
    </row>
    <row r="449" spans="1:6" x14ac:dyDescent="0.25">
      <c r="A449" s="263">
        <v>37420171</v>
      </c>
      <c r="B449" s="263" t="s">
        <v>1324</v>
      </c>
      <c r="C449" s="263" t="s">
        <v>869</v>
      </c>
      <c r="D449" s="263" t="s">
        <v>910</v>
      </c>
      <c r="E449" s="263" t="s">
        <v>921</v>
      </c>
      <c r="F449" s="263" t="s">
        <v>1309</v>
      </c>
    </row>
    <row r="450" spans="1:6" x14ac:dyDescent="0.25">
      <c r="A450" s="263">
        <v>37420199</v>
      </c>
      <c r="B450" s="263" t="s">
        <v>1325</v>
      </c>
      <c r="C450" s="263" t="s">
        <v>869</v>
      </c>
      <c r="D450" s="263" t="s">
        <v>910</v>
      </c>
      <c r="E450" s="263" t="s">
        <v>921</v>
      </c>
      <c r="F450" s="263" t="s">
        <v>1309</v>
      </c>
    </row>
    <row r="451" spans="1:6" x14ac:dyDescent="0.25">
      <c r="A451" s="263">
        <v>37420299</v>
      </c>
      <c r="B451" s="263" t="s">
        <v>1326</v>
      </c>
      <c r="C451" s="263" t="s">
        <v>869</v>
      </c>
      <c r="D451" s="263" t="s">
        <v>910</v>
      </c>
      <c r="E451" s="263" t="s">
        <v>921</v>
      </c>
      <c r="F451" s="263" t="s">
        <v>1309</v>
      </c>
    </row>
    <row r="452" spans="1:6" x14ac:dyDescent="0.25">
      <c r="A452" s="263">
        <v>37420320</v>
      </c>
      <c r="B452" s="263" t="s">
        <v>1327</v>
      </c>
      <c r="C452" s="263" t="s">
        <v>869</v>
      </c>
      <c r="D452" s="263" t="s">
        <v>910</v>
      </c>
      <c r="E452" s="263" t="s">
        <v>921</v>
      </c>
      <c r="F452" s="263" t="s">
        <v>1309</v>
      </c>
    </row>
    <row r="453" spans="1:6" x14ac:dyDescent="0.25">
      <c r="A453" s="263">
        <v>37420326</v>
      </c>
      <c r="B453" s="263" t="s">
        <v>1328</v>
      </c>
      <c r="C453" s="263" t="s">
        <v>869</v>
      </c>
      <c r="D453" s="263" t="s">
        <v>910</v>
      </c>
      <c r="E453" s="263" t="s">
        <v>921</v>
      </c>
      <c r="F453" s="263" t="s">
        <v>1309</v>
      </c>
    </row>
    <row r="454" spans="1:6" x14ac:dyDescent="0.25">
      <c r="A454" s="263">
        <v>37420327</v>
      </c>
      <c r="B454" s="263" t="s">
        <v>1329</v>
      </c>
      <c r="C454" s="263" t="s">
        <v>869</v>
      </c>
      <c r="D454" s="263" t="s">
        <v>910</v>
      </c>
      <c r="E454" s="263" t="s">
        <v>921</v>
      </c>
      <c r="F454" s="263" t="s">
        <v>1309</v>
      </c>
    </row>
    <row r="455" spans="1:6" x14ac:dyDescent="0.25">
      <c r="A455" s="263">
        <v>37420329</v>
      </c>
      <c r="B455" s="263" t="s">
        <v>1330</v>
      </c>
      <c r="C455" s="263" t="s">
        <v>869</v>
      </c>
      <c r="D455" s="263" t="s">
        <v>910</v>
      </c>
      <c r="E455" s="263" t="s">
        <v>921</v>
      </c>
      <c r="F455" s="263" t="s">
        <v>1309</v>
      </c>
    </row>
    <row r="456" spans="1:6" x14ac:dyDescent="0.25">
      <c r="A456" s="263">
        <v>37420330</v>
      </c>
      <c r="B456" s="263" t="s">
        <v>1331</v>
      </c>
      <c r="C456" s="263" t="s">
        <v>869</v>
      </c>
      <c r="D456" s="263" t="s">
        <v>910</v>
      </c>
      <c r="E456" s="263" t="s">
        <v>921</v>
      </c>
      <c r="F456" s="263" t="s">
        <v>1309</v>
      </c>
    </row>
    <row r="457" spans="1:6" x14ac:dyDescent="0.25">
      <c r="A457" s="263">
        <v>37420331</v>
      </c>
      <c r="B457" s="263" t="s">
        <v>1332</v>
      </c>
      <c r="C457" s="263" t="s">
        <v>869</v>
      </c>
      <c r="D457" s="263" t="s">
        <v>910</v>
      </c>
      <c r="E457" s="263" t="s">
        <v>921</v>
      </c>
      <c r="F457" s="263" t="s">
        <v>1309</v>
      </c>
    </row>
    <row r="458" spans="1:6" x14ac:dyDescent="0.25">
      <c r="A458" s="263">
        <v>37420335</v>
      </c>
      <c r="B458" s="263" t="s">
        <v>1333</v>
      </c>
      <c r="C458" s="263" t="s">
        <v>869</v>
      </c>
      <c r="D458" s="263" t="s">
        <v>910</v>
      </c>
      <c r="E458" s="263" t="s">
        <v>921</v>
      </c>
      <c r="F458" s="263" t="s">
        <v>1309</v>
      </c>
    </row>
    <row r="459" spans="1:6" x14ac:dyDescent="0.25">
      <c r="A459" s="263">
        <v>37420336</v>
      </c>
      <c r="B459" s="263" t="s">
        <v>1334</v>
      </c>
      <c r="C459" s="263" t="s">
        <v>869</v>
      </c>
      <c r="D459" s="263" t="s">
        <v>910</v>
      </c>
      <c r="E459" s="263" t="s">
        <v>921</v>
      </c>
      <c r="F459" s="263" t="s">
        <v>1309</v>
      </c>
    </row>
    <row r="460" spans="1:6" x14ac:dyDescent="0.25">
      <c r="A460" s="263">
        <v>37420340</v>
      </c>
      <c r="B460" s="263" t="s">
        <v>1335</v>
      </c>
      <c r="C460" s="263" t="s">
        <v>869</v>
      </c>
      <c r="D460" s="263" t="s">
        <v>910</v>
      </c>
      <c r="E460" s="263" t="s">
        <v>921</v>
      </c>
      <c r="F460" s="263" t="s">
        <v>1309</v>
      </c>
    </row>
    <row r="461" spans="1:6" x14ac:dyDescent="0.25">
      <c r="A461" s="263">
        <v>37420341</v>
      </c>
      <c r="B461" s="263" t="s">
        <v>1336</v>
      </c>
      <c r="C461" s="263" t="s">
        <v>869</v>
      </c>
      <c r="D461" s="263" t="s">
        <v>910</v>
      </c>
      <c r="E461" s="263" t="s">
        <v>921</v>
      </c>
      <c r="F461" s="263" t="s">
        <v>1309</v>
      </c>
    </row>
    <row r="462" spans="1:6" x14ac:dyDescent="0.25">
      <c r="A462" s="263">
        <v>37420370</v>
      </c>
      <c r="B462" s="263" t="s">
        <v>1337</v>
      </c>
      <c r="C462" s="263" t="s">
        <v>869</v>
      </c>
      <c r="D462" s="263" t="s">
        <v>910</v>
      </c>
      <c r="E462" s="263" t="s">
        <v>921</v>
      </c>
      <c r="F462" s="263" t="s">
        <v>1309</v>
      </c>
    </row>
    <row r="463" spans="1:6" x14ac:dyDescent="0.25">
      <c r="A463" s="263">
        <v>37420399</v>
      </c>
      <c r="B463" s="263" t="s">
        <v>1338</v>
      </c>
      <c r="C463" s="263" t="s">
        <v>869</v>
      </c>
      <c r="D463" s="263" t="s">
        <v>910</v>
      </c>
      <c r="E463" s="263" t="s">
        <v>921</v>
      </c>
      <c r="F463" s="263" t="s">
        <v>1309</v>
      </c>
    </row>
    <row r="464" spans="1:6" x14ac:dyDescent="0.25">
      <c r="A464" s="263">
        <v>37420499</v>
      </c>
      <c r="B464" s="263" t="s">
        <v>1339</v>
      </c>
      <c r="C464" s="263" t="s">
        <v>869</v>
      </c>
      <c r="D464" s="263" t="s">
        <v>910</v>
      </c>
      <c r="E464" s="263" t="s">
        <v>921</v>
      </c>
      <c r="F464" s="263" t="s">
        <v>1309</v>
      </c>
    </row>
    <row r="465" spans="1:6" x14ac:dyDescent="0.25">
      <c r="A465" s="263">
        <v>37420520</v>
      </c>
      <c r="B465" s="263" t="s">
        <v>1340</v>
      </c>
      <c r="C465" s="263" t="s">
        <v>869</v>
      </c>
      <c r="D465" s="263" t="s">
        <v>910</v>
      </c>
      <c r="E465" s="263" t="s">
        <v>921</v>
      </c>
      <c r="F465" s="263" t="s">
        <v>1309</v>
      </c>
    </row>
    <row r="466" spans="1:6" x14ac:dyDescent="0.25">
      <c r="A466" s="263">
        <v>37420535</v>
      </c>
      <c r="B466" s="263" t="s">
        <v>1341</v>
      </c>
      <c r="C466" s="263" t="s">
        <v>869</v>
      </c>
      <c r="D466" s="263" t="s">
        <v>910</v>
      </c>
      <c r="E466" s="263" t="s">
        <v>921</v>
      </c>
      <c r="F466" s="263" t="s">
        <v>1309</v>
      </c>
    </row>
    <row r="467" spans="1:6" x14ac:dyDescent="0.25">
      <c r="A467" s="263">
        <v>37420552</v>
      </c>
      <c r="B467" s="263" t="s">
        <v>1342</v>
      </c>
      <c r="C467" s="263" t="s">
        <v>869</v>
      </c>
      <c r="D467" s="263" t="s">
        <v>910</v>
      </c>
      <c r="E467" s="263" t="s">
        <v>921</v>
      </c>
      <c r="F467" s="263" t="s">
        <v>1309</v>
      </c>
    </row>
    <row r="468" spans="1:6" x14ac:dyDescent="0.25">
      <c r="A468" s="263">
        <v>37420599</v>
      </c>
      <c r="B468" s="263" t="s">
        <v>1343</v>
      </c>
      <c r="C468" s="263" t="s">
        <v>869</v>
      </c>
      <c r="D468" s="263" t="s">
        <v>910</v>
      </c>
      <c r="E468" s="263" t="s">
        <v>921</v>
      </c>
      <c r="F468" s="263" t="s">
        <v>1309</v>
      </c>
    </row>
    <row r="469" spans="1:6" x14ac:dyDescent="0.25">
      <c r="A469" s="263">
        <v>37420620</v>
      </c>
      <c r="B469" s="263" t="s">
        <v>1344</v>
      </c>
      <c r="C469" s="263" t="s">
        <v>869</v>
      </c>
      <c r="D469" s="263" t="s">
        <v>910</v>
      </c>
      <c r="E469" s="263" t="s">
        <v>921</v>
      </c>
      <c r="F469" s="263" t="s">
        <v>1309</v>
      </c>
    </row>
    <row r="470" spans="1:6" x14ac:dyDescent="0.25">
      <c r="A470" s="263">
        <v>37420626</v>
      </c>
      <c r="B470" s="263" t="s">
        <v>1345</v>
      </c>
      <c r="C470" s="263" t="s">
        <v>869</v>
      </c>
      <c r="D470" s="263" t="s">
        <v>910</v>
      </c>
      <c r="E470" s="263" t="s">
        <v>921</v>
      </c>
      <c r="F470" s="263" t="s">
        <v>1309</v>
      </c>
    </row>
    <row r="471" spans="1:6" x14ac:dyDescent="0.25">
      <c r="A471" s="263">
        <v>37420629</v>
      </c>
      <c r="B471" s="263" t="s">
        <v>549</v>
      </c>
      <c r="C471" s="263" t="s">
        <v>869</v>
      </c>
      <c r="D471" s="263" t="s">
        <v>910</v>
      </c>
      <c r="E471" s="263" t="s">
        <v>921</v>
      </c>
      <c r="F471" s="263" t="s">
        <v>1309</v>
      </c>
    </row>
    <row r="472" spans="1:6" x14ac:dyDescent="0.25">
      <c r="A472" s="263">
        <v>37420631</v>
      </c>
      <c r="B472" s="263" t="s">
        <v>1346</v>
      </c>
      <c r="C472" s="263" t="s">
        <v>869</v>
      </c>
      <c r="D472" s="263" t="s">
        <v>910</v>
      </c>
      <c r="E472" s="263" t="s">
        <v>921</v>
      </c>
      <c r="F472" s="263" t="s">
        <v>1309</v>
      </c>
    </row>
    <row r="473" spans="1:6" x14ac:dyDescent="0.25">
      <c r="A473" s="263">
        <v>37420635</v>
      </c>
      <c r="B473" s="263" t="s">
        <v>1347</v>
      </c>
      <c r="C473" s="263" t="s">
        <v>869</v>
      </c>
      <c r="D473" s="263" t="s">
        <v>910</v>
      </c>
      <c r="E473" s="263" t="s">
        <v>921</v>
      </c>
      <c r="F473" s="263" t="s">
        <v>1309</v>
      </c>
    </row>
    <row r="474" spans="1:6" x14ac:dyDescent="0.25">
      <c r="A474" s="263">
        <v>37420637</v>
      </c>
      <c r="B474" s="263" t="s">
        <v>1348</v>
      </c>
      <c r="C474" s="263" t="s">
        <v>869</v>
      </c>
      <c r="D474" s="263" t="s">
        <v>910</v>
      </c>
      <c r="E474" s="263" t="s">
        <v>921</v>
      </c>
      <c r="F474" s="263" t="s">
        <v>1309</v>
      </c>
    </row>
    <row r="475" spans="1:6" x14ac:dyDescent="0.25">
      <c r="A475" s="263">
        <v>37420640</v>
      </c>
      <c r="B475" s="263" t="s">
        <v>1349</v>
      </c>
      <c r="C475" s="263" t="s">
        <v>869</v>
      </c>
      <c r="D475" s="263" t="s">
        <v>910</v>
      </c>
      <c r="E475" s="263" t="s">
        <v>921</v>
      </c>
      <c r="F475" s="263" t="s">
        <v>1309</v>
      </c>
    </row>
    <row r="476" spans="1:6" x14ac:dyDescent="0.25">
      <c r="A476" s="263">
        <v>37420641</v>
      </c>
      <c r="B476" s="263" t="s">
        <v>1350</v>
      </c>
      <c r="C476" s="263" t="s">
        <v>869</v>
      </c>
      <c r="D476" s="263" t="s">
        <v>910</v>
      </c>
      <c r="E476" s="263" t="s">
        <v>921</v>
      </c>
      <c r="F476" s="263" t="s">
        <v>1309</v>
      </c>
    </row>
    <row r="477" spans="1:6" x14ac:dyDescent="0.25">
      <c r="A477" s="263">
        <v>37420643</v>
      </c>
      <c r="B477" s="263" t="s">
        <v>1351</v>
      </c>
      <c r="C477" s="263" t="s">
        <v>869</v>
      </c>
      <c r="D477" s="263" t="s">
        <v>910</v>
      </c>
      <c r="E477" s="263" t="s">
        <v>921</v>
      </c>
      <c r="F477" s="263" t="s">
        <v>1309</v>
      </c>
    </row>
    <row r="478" spans="1:6" x14ac:dyDescent="0.25">
      <c r="A478" s="263">
        <v>37420644</v>
      </c>
      <c r="B478" s="263" t="s">
        <v>1352</v>
      </c>
      <c r="C478" s="263" t="s">
        <v>869</v>
      </c>
      <c r="D478" s="263" t="s">
        <v>910</v>
      </c>
      <c r="E478" s="263" t="s">
        <v>921</v>
      </c>
      <c r="F478" s="263" t="s">
        <v>1309</v>
      </c>
    </row>
    <row r="479" spans="1:6" x14ac:dyDescent="0.25">
      <c r="A479" s="263">
        <v>37420647</v>
      </c>
      <c r="B479" s="263" t="s">
        <v>1353</v>
      </c>
      <c r="C479" s="263" t="s">
        <v>869</v>
      </c>
      <c r="D479" s="263" t="s">
        <v>910</v>
      </c>
      <c r="E479" s="263" t="s">
        <v>921</v>
      </c>
      <c r="F479" s="263" t="s">
        <v>1309</v>
      </c>
    </row>
    <row r="480" spans="1:6" x14ac:dyDescent="0.25">
      <c r="A480" s="263">
        <v>37420652</v>
      </c>
      <c r="B480" s="263" t="s">
        <v>1354</v>
      </c>
      <c r="C480" s="263" t="s">
        <v>869</v>
      </c>
      <c r="D480" s="263" t="s">
        <v>910</v>
      </c>
      <c r="E480" s="263" t="s">
        <v>921</v>
      </c>
      <c r="F480" s="263" t="s">
        <v>1309</v>
      </c>
    </row>
    <row r="481" spans="1:6" x14ac:dyDescent="0.25">
      <c r="A481" s="263">
        <v>37420658</v>
      </c>
      <c r="B481" s="263" t="s">
        <v>1355</v>
      </c>
      <c r="C481" s="263" t="s">
        <v>869</v>
      </c>
      <c r="D481" s="263" t="s">
        <v>910</v>
      </c>
      <c r="E481" s="263" t="s">
        <v>921</v>
      </c>
      <c r="F481" s="263" t="s">
        <v>1309</v>
      </c>
    </row>
    <row r="482" spans="1:6" x14ac:dyDescent="0.25">
      <c r="A482" s="263">
        <v>37420661</v>
      </c>
      <c r="B482" s="263" t="s">
        <v>1356</v>
      </c>
      <c r="C482" s="263" t="s">
        <v>869</v>
      </c>
      <c r="D482" s="263" t="s">
        <v>910</v>
      </c>
      <c r="E482" s="263" t="s">
        <v>921</v>
      </c>
      <c r="F482" s="263" t="s">
        <v>1309</v>
      </c>
    </row>
    <row r="483" spans="1:6" x14ac:dyDescent="0.25">
      <c r="A483" s="263">
        <v>37420662</v>
      </c>
      <c r="B483" s="263" t="s">
        <v>1357</v>
      </c>
      <c r="C483" s="263" t="s">
        <v>869</v>
      </c>
      <c r="D483" s="263" t="s">
        <v>910</v>
      </c>
      <c r="E483" s="263" t="s">
        <v>921</v>
      </c>
      <c r="F483" s="263" t="s">
        <v>1309</v>
      </c>
    </row>
    <row r="484" spans="1:6" x14ac:dyDescent="0.25">
      <c r="A484" s="263">
        <v>37420664</v>
      </c>
      <c r="B484" s="263" t="s">
        <v>1358</v>
      </c>
      <c r="C484" s="263" t="s">
        <v>869</v>
      </c>
      <c r="D484" s="263" t="s">
        <v>910</v>
      </c>
      <c r="E484" s="263" t="s">
        <v>921</v>
      </c>
      <c r="F484" s="263" t="s">
        <v>1309</v>
      </c>
    </row>
    <row r="485" spans="1:6" x14ac:dyDescent="0.25">
      <c r="A485" s="263">
        <v>37420670</v>
      </c>
      <c r="B485" s="263" t="s">
        <v>1359</v>
      </c>
      <c r="C485" s="263" t="s">
        <v>869</v>
      </c>
      <c r="D485" s="263" t="s">
        <v>910</v>
      </c>
      <c r="E485" s="263" t="s">
        <v>921</v>
      </c>
      <c r="F485" s="263" t="s">
        <v>1309</v>
      </c>
    </row>
    <row r="486" spans="1:6" x14ac:dyDescent="0.25">
      <c r="A486" s="263">
        <v>37420699</v>
      </c>
      <c r="B486" s="263" t="s">
        <v>1360</v>
      </c>
      <c r="C486" s="263" t="s">
        <v>869</v>
      </c>
      <c r="D486" s="263" t="s">
        <v>910</v>
      </c>
      <c r="E486" s="263" t="s">
        <v>921</v>
      </c>
      <c r="F486" s="263" t="s">
        <v>1309</v>
      </c>
    </row>
    <row r="487" spans="1:6" x14ac:dyDescent="0.25">
      <c r="A487" s="263">
        <v>37420720</v>
      </c>
      <c r="B487" s="263" t="s">
        <v>1361</v>
      </c>
      <c r="C487" s="263" t="s">
        <v>869</v>
      </c>
      <c r="D487" s="263" t="s">
        <v>910</v>
      </c>
      <c r="E487" s="263" t="s">
        <v>921</v>
      </c>
      <c r="F487" s="263" t="s">
        <v>1309</v>
      </c>
    </row>
    <row r="488" spans="1:6" x14ac:dyDescent="0.25">
      <c r="A488" s="263">
        <v>37420799</v>
      </c>
      <c r="B488" s="263" t="s">
        <v>1362</v>
      </c>
      <c r="C488" s="263" t="s">
        <v>869</v>
      </c>
      <c r="D488" s="263" t="s">
        <v>910</v>
      </c>
      <c r="E488" s="263" t="s">
        <v>921</v>
      </c>
      <c r="F488" s="263" t="s">
        <v>1309</v>
      </c>
    </row>
    <row r="489" spans="1:6" x14ac:dyDescent="0.25">
      <c r="A489" s="263">
        <v>37420923</v>
      </c>
      <c r="B489" s="263" t="s">
        <v>1363</v>
      </c>
      <c r="C489" s="263" t="s">
        <v>869</v>
      </c>
      <c r="D489" s="263" t="s">
        <v>910</v>
      </c>
      <c r="E489" s="263" t="s">
        <v>921</v>
      </c>
      <c r="F489" s="263" t="s">
        <v>1309</v>
      </c>
    </row>
    <row r="490" spans="1:6" x14ac:dyDescent="0.25">
      <c r="A490" s="263">
        <v>37420924</v>
      </c>
      <c r="B490" s="263" t="s">
        <v>1364</v>
      </c>
      <c r="C490" s="263" t="s">
        <v>869</v>
      </c>
      <c r="D490" s="263" t="s">
        <v>910</v>
      </c>
      <c r="E490" s="263" t="s">
        <v>921</v>
      </c>
      <c r="F490" s="263" t="s">
        <v>1309</v>
      </c>
    </row>
    <row r="491" spans="1:6" x14ac:dyDescent="0.25">
      <c r="A491" s="263">
        <v>37420925</v>
      </c>
      <c r="B491" s="263" t="s">
        <v>1365</v>
      </c>
      <c r="C491" s="263" t="s">
        <v>869</v>
      </c>
      <c r="D491" s="263" t="s">
        <v>910</v>
      </c>
      <c r="E491" s="263" t="s">
        <v>921</v>
      </c>
      <c r="F491" s="263" t="s">
        <v>1309</v>
      </c>
    </row>
    <row r="492" spans="1:6" x14ac:dyDescent="0.25">
      <c r="A492" s="263">
        <v>37420935</v>
      </c>
      <c r="B492" s="263" t="s">
        <v>1366</v>
      </c>
      <c r="C492" s="263" t="s">
        <v>869</v>
      </c>
      <c r="D492" s="263" t="s">
        <v>910</v>
      </c>
      <c r="E492" s="263" t="s">
        <v>921</v>
      </c>
      <c r="F492" s="263" t="s">
        <v>1309</v>
      </c>
    </row>
    <row r="493" spans="1:6" x14ac:dyDescent="0.25">
      <c r="A493" s="263">
        <v>37420971</v>
      </c>
      <c r="B493" s="263" t="s">
        <v>1367</v>
      </c>
      <c r="C493" s="263" t="s">
        <v>869</v>
      </c>
      <c r="D493" s="263" t="s">
        <v>910</v>
      </c>
      <c r="E493" s="263" t="s">
        <v>921</v>
      </c>
      <c r="F493" s="263" t="s">
        <v>1309</v>
      </c>
    </row>
    <row r="494" spans="1:6" x14ac:dyDescent="0.25">
      <c r="A494" s="263">
        <v>37420999</v>
      </c>
      <c r="B494" s="263" t="s">
        <v>1368</v>
      </c>
      <c r="C494" s="263" t="s">
        <v>869</v>
      </c>
      <c r="D494" s="263" t="s">
        <v>910</v>
      </c>
      <c r="E494" s="263" t="s">
        <v>921</v>
      </c>
      <c r="F494" s="263" t="s">
        <v>1309</v>
      </c>
    </row>
    <row r="495" spans="1:6" x14ac:dyDescent="0.25">
      <c r="A495" s="263">
        <v>37421020</v>
      </c>
      <c r="B495" s="263" t="s">
        <v>1369</v>
      </c>
      <c r="C495" s="263" t="s">
        <v>869</v>
      </c>
      <c r="D495" s="263" t="s">
        <v>910</v>
      </c>
      <c r="E495" s="263" t="s">
        <v>921</v>
      </c>
      <c r="F495" s="263" t="s">
        <v>1309</v>
      </c>
    </row>
    <row r="496" spans="1:6" x14ac:dyDescent="0.25">
      <c r="A496" s="263">
        <v>37421026</v>
      </c>
      <c r="B496" s="263" t="s">
        <v>1370</v>
      </c>
      <c r="C496" s="263" t="s">
        <v>869</v>
      </c>
      <c r="D496" s="263" t="s">
        <v>910</v>
      </c>
      <c r="E496" s="263" t="s">
        <v>921</v>
      </c>
      <c r="F496" s="263" t="s">
        <v>1309</v>
      </c>
    </row>
    <row r="497" spans="1:6" x14ac:dyDescent="0.25">
      <c r="A497" s="263">
        <v>37421031</v>
      </c>
      <c r="B497" s="263" t="s">
        <v>1371</v>
      </c>
      <c r="C497" s="263" t="s">
        <v>869</v>
      </c>
      <c r="D497" s="263" t="s">
        <v>910</v>
      </c>
      <c r="E497" s="263" t="s">
        <v>921</v>
      </c>
      <c r="F497" s="263" t="s">
        <v>1309</v>
      </c>
    </row>
    <row r="498" spans="1:6" x14ac:dyDescent="0.25">
      <c r="A498" s="263">
        <v>37421035</v>
      </c>
      <c r="B498" s="263" t="s">
        <v>1372</v>
      </c>
      <c r="C498" s="263" t="s">
        <v>869</v>
      </c>
      <c r="D498" s="263" t="s">
        <v>910</v>
      </c>
      <c r="E498" s="263" t="s">
        <v>921</v>
      </c>
      <c r="F498" s="263" t="s">
        <v>1309</v>
      </c>
    </row>
    <row r="499" spans="1:6" x14ac:dyDescent="0.25">
      <c r="A499" s="263">
        <v>37421052</v>
      </c>
      <c r="B499" s="263" t="s">
        <v>1373</v>
      </c>
      <c r="C499" s="263" t="s">
        <v>869</v>
      </c>
      <c r="D499" s="263" t="s">
        <v>910</v>
      </c>
      <c r="E499" s="263" t="s">
        <v>921</v>
      </c>
      <c r="F499" s="263" t="s">
        <v>1309</v>
      </c>
    </row>
    <row r="500" spans="1:6" x14ac:dyDescent="0.25">
      <c r="A500" s="263">
        <v>37421070</v>
      </c>
      <c r="B500" s="263" t="s">
        <v>1374</v>
      </c>
      <c r="C500" s="263" t="s">
        <v>869</v>
      </c>
      <c r="D500" s="263" t="s">
        <v>910</v>
      </c>
      <c r="E500" s="263" t="s">
        <v>921</v>
      </c>
      <c r="F500" s="263" t="s">
        <v>1309</v>
      </c>
    </row>
    <row r="501" spans="1:6" x14ac:dyDescent="0.25">
      <c r="A501" s="263">
        <v>37421099</v>
      </c>
      <c r="B501" s="263" t="s">
        <v>1375</v>
      </c>
      <c r="C501" s="263" t="s">
        <v>869</v>
      </c>
      <c r="D501" s="263" t="s">
        <v>910</v>
      </c>
      <c r="E501" s="263" t="s">
        <v>921</v>
      </c>
      <c r="F501" s="263" t="s">
        <v>1309</v>
      </c>
    </row>
    <row r="502" spans="1:6" x14ac:dyDescent="0.25">
      <c r="A502" s="263">
        <v>37421118</v>
      </c>
      <c r="B502" s="263" t="s">
        <v>1376</v>
      </c>
      <c r="C502" s="263" t="s">
        <v>869</v>
      </c>
      <c r="D502" s="263" t="s">
        <v>910</v>
      </c>
      <c r="E502" s="263" t="s">
        <v>921</v>
      </c>
      <c r="F502" s="263" t="s">
        <v>1377</v>
      </c>
    </row>
    <row r="503" spans="1:6" x14ac:dyDescent="0.25">
      <c r="A503" s="263">
        <v>37421120</v>
      </c>
      <c r="B503" s="263" t="s">
        <v>1378</v>
      </c>
      <c r="C503" s="263" t="s">
        <v>869</v>
      </c>
      <c r="D503" s="263" t="s">
        <v>910</v>
      </c>
      <c r="E503" s="263" t="s">
        <v>921</v>
      </c>
      <c r="F503" s="263" t="s">
        <v>1377</v>
      </c>
    </row>
    <row r="504" spans="1:6" x14ac:dyDescent="0.25">
      <c r="A504" s="263">
        <v>37421125</v>
      </c>
      <c r="B504" s="263" t="s">
        <v>1379</v>
      </c>
      <c r="C504" s="263" t="s">
        <v>869</v>
      </c>
      <c r="D504" s="263" t="s">
        <v>910</v>
      </c>
      <c r="E504" s="263" t="s">
        <v>921</v>
      </c>
      <c r="F504" s="263" t="s">
        <v>1309</v>
      </c>
    </row>
    <row r="505" spans="1:6" x14ac:dyDescent="0.25">
      <c r="A505" s="263">
        <v>37421126</v>
      </c>
      <c r="B505" s="263" t="s">
        <v>1380</v>
      </c>
      <c r="C505" s="263" t="s">
        <v>869</v>
      </c>
      <c r="D505" s="263" t="s">
        <v>910</v>
      </c>
      <c r="E505" s="263" t="s">
        <v>921</v>
      </c>
      <c r="F505" s="263" t="s">
        <v>1377</v>
      </c>
    </row>
    <row r="506" spans="1:6" x14ac:dyDescent="0.25">
      <c r="A506" s="263">
        <v>37421129</v>
      </c>
      <c r="B506" s="263" t="s">
        <v>1381</v>
      </c>
      <c r="C506" s="263" t="s">
        <v>869</v>
      </c>
      <c r="D506" s="263" t="s">
        <v>910</v>
      </c>
      <c r="E506" s="263" t="s">
        <v>921</v>
      </c>
      <c r="F506" s="263" t="s">
        <v>1377</v>
      </c>
    </row>
    <row r="507" spans="1:6" x14ac:dyDescent="0.25">
      <c r="A507" s="263">
        <v>37421130</v>
      </c>
      <c r="B507" s="263" t="s">
        <v>1382</v>
      </c>
      <c r="C507" s="263" t="s">
        <v>869</v>
      </c>
      <c r="D507" s="263" t="s">
        <v>910</v>
      </c>
      <c r="E507" s="263" t="s">
        <v>921</v>
      </c>
      <c r="F507" s="263" t="s">
        <v>1377</v>
      </c>
    </row>
    <row r="508" spans="1:6" x14ac:dyDescent="0.25">
      <c r="A508" s="263">
        <v>37421131</v>
      </c>
      <c r="B508" s="263" t="s">
        <v>1383</v>
      </c>
      <c r="C508" s="263" t="s">
        <v>869</v>
      </c>
      <c r="D508" s="263" t="s">
        <v>910</v>
      </c>
      <c r="E508" s="263" t="s">
        <v>921</v>
      </c>
      <c r="F508" s="263" t="s">
        <v>1377</v>
      </c>
    </row>
    <row r="509" spans="1:6" x14ac:dyDescent="0.25">
      <c r="A509" s="263">
        <v>37421136</v>
      </c>
      <c r="B509" s="263" t="s">
        <v>1384</v>
      </c>
      <c r="C509" s="263" t="s">
        <v>869</v>
      </c>
      <c r="D509" s="263" t="s">
        <v>910</v>
      </c>
      <c r="E509" s="263" t="s">
        <v>921</v>
      </c>
      <c r="F509" s="263" t="s">
        <v>1377</v>
      </c>
    </row>
    <row r="510" spans="1:6" x14ac:dyDescent="0.25">
      <c r="A510" s="263">
        <v>37421137</v>
      </c>
      <c r="B510" s="263" t="s">
        <v>1385</v>
      </c>
      <c r="C510" s="263" t="s">
        <v>869</v>
      </c>
      <c r="D510" s="263" t="s">
        <v>910</v>
      </c>
      <c r="E510" s="263" t="s">
        <v>921</v>
      </c>
      <c r="F510" s="263" t="s">
        <v>1377</v>
      </c>
    </row>
    <row r="511" spans="1:6" x14ac:dyDescent="0.25">
      <c r="A511" s="263">
        <v>37421138</v>
      </c>
      <c r="B511" s="263" t="s">
        <v>1386</v>
      </c>
      <c r="C511" s="263" t="s">
        <v>869</v>
      </c>
      <c r="D511" s="263" t="s">
        <v>910</v>
      </c>
      <c r="E511" s="263" t="s">
        <v>921</v>
      </c>
      <c r="F511" s="263" t="s">
        <v>1377</v>
      </c>
    </row>
    <row r="512" spans="1:6" x14ac:dyDescent="0.25">
      <c r="A512" s="263">
        <v>37421139</v>
      </c>
      <c r="B512" s="263" t="s">
        <v>1387</v>
      </c>
      <c r="C512" s="263" t="s">
        <v>869</v>
      </c>
      <c r="D512" s="263" t="s">
        <v>910</v>
      </c>
      <c r="E512" s="263" t="s">
        <v>921</v>
      </c>
      <c r="F512" s="263" t="s">
        <v>1377</v>
      </c>
    </row>
    <row r="513" spans="1:6" x14ac:dyDescent="0.25">
      <c r="A513" s="263">
        <v>37421140</v>
      </c>
      <c r="B513" s="263" t="s">
        <v>1388</v>
      </c>
      <c r="C513" s="263" t="s">
        <v>869</v>
      </c>
      <c r="D513" s="263" t="s">
        <v>910</v>
      </c>
      <c r="E513" s="263" t="s">
        <v>921</v>
      </c>
      <c r="F513" s="263" t="s">
        <v>1377</v>
      </c>
    </row>
    <row r="514" spans="1:6" x14ac:dyDescent="0.25">
      <c r="A514" s="263">
        <v>37421141</v>
      </c>
      <c r="B514" s="263" t="s">
        <v>1389</v>
      </c>
      <c r="C514" s="263" t="s">
        <v>869</v>
      </c>
      <c r="D514" s="263" t="s">
        <v>910</v>
      </c>
      <c r="E514" s="263" t="s">
        <v>921</v>
      </c>
      <c r="F514" s="263" t="s">
        <v>1377</v>
      </c>
    </row>
    <row r="515" spans="1:6" x14ac:dyDescent="0.25">
      <c r="A515" s="263">
        <v>37421143</v>
      </c>
      <c r="B515" s="263" t="s">
        <v>1390</v>
      </c>
      <c r="C515" s="263" t="s">
        <v>869</v>
      </c>
      <c r="D515" s="263" t="s">
        <v>910</v>
      </c>
      <c r="E515" s="263" t="s">
        <v>921</v>
      </c>
      <c r="F515" s="263" t="s">
        <v>1377</v>
      </c>
    </row>
    <row r="516" spans="1:6" x14ac:dyDescent="0.25">
      <c r="A516" s="263">
        <v>37421149</v>
      </c>
      <c r="B516" s="263" t="s">
        <v>1391</v>
      </c>
      <c r="C516" s="263" t="s">
        <v>869</v>
      </c>
      <c r="D516" s="263" t="s">
        <v>910</v>
      </c>
      <c r="E516" s="263" t="s">
        <v>921</v>
      </c>
      <c r="F516" s="263" t="s">
        <v>1377</v>
      </c>
    </row>
    <row r="517" spans="1:6" x14ac:dyDescent="0.25">
      <c r="A517" s="263">
        <v>37421154</v>
      </c>
      <c r="B517" s="263" t="s">
        <v>1392</v>
      </c>
      <c r="C517" s="263" t="s">
        <v>869</v>
      </c>
      <c r="D517" s="263" t="s">
        <v>910</v>
      </c>
      <c r="E517" s="263" t="s">
        <v>921</v>
      </c>
      <c r="F517" s="263" t="s">
        <v>1377</v>
      </c>
    </row>
    <row r="518" spans="1:6" x14ac:dyDescent="0.25">
      <c r="A518" s="263">
        <v>37421157</v>
      </c>
      <c r="B518" s="263" t="s">
        <v>1393</v>
      </c>
      <c r="C518" s="263" t="s">
        <v>869</v>
      </c>
      <c r="D518" s="263" t="s">
        <v>910</v>
      </c>
      <c r="E518" s="263" t="s">
        <v>921</v>
      </c>
      <c r="F518" s="263" t="s">
        <v>1377</v>
      </c>
    </row>
    <row r="519" spans="1:6" x14ac:dyDescent="0.25">
      <c r="A519" s="263">
        <v>37421159</v>
      </c>
      <c r="B519" s="263" t="s">
        <v>1394</v>
      </c>
      <c r="C519" s="263" t="s">
        <v>869</v>
      </c>
      <c r="D519" s="263" t="s">
        <v>910</v>
      </c>
      <c r="E519" s="263" t="s">
        <v>921</v>
      </c>
      <c r="F519" s="263" t="s">
        <v>1377</v>
      </c>
    </row>
    <row r="520" spans="1:6" x14ac:dyDescent="0.25">
      <c r="A520" s="263">
        <v>37421199</v>
      </c>
      <c r="B520" s="263" t="s">
        <v>1395</v>
      </c>
      <c r="C520" s="263" t="s">
        <v>869</v>
      </c>
      <c r="D520" s="263" t="s">
        <v>910</v>
      </c>
      <c r="E520" s="263" t="s">
        <v>921</v>
      </c>
      <c r="F520" s="263" t="s">
        <v>1377</v>
      </c>
    </row>
    <row r="521" spans="1:6" x14ac:dyDescent="0.25">
      <c r="A521" s="263">
        <v>37421220</v>
      </c>
      <c r="B521" s="263" t="s">
        <v>1396</v>
      </c>
      <c r="C521" s="263" t="s">
        <v>869</v>
      </c>
      <c r="D521" s="263" t="s">
        <v>910</v>
      </c>
      <c r="E521" s="263" t="s">
        <v>921</v>
      </c>
      <c r="F521" s="263" t="s">
        <v>1309</v>
      </c>
    </row>
    <row r="522" spans="1:6" x14ac:dyDescent="0.25">
      <c r="A522" s="263">
        <v>37421225</v>
      </c>
      <c r="B522" s="263" t="s">
        <v>1397</v>
      </c>
      <c r="C522" s="263" t="s">
        <v>869</v>
      </c>
      <c r="D522" s="263" t="s">
        <v>910</v>
      </c>
      <c r="E522" s="263" t="s">
        <v>921</v>
      </c>
      <c r="F522" s="263" t="s">
        <v>1309</v>
      </c>
    </row>
    <row r="523" spans="1:6" x14ac:dyDescent="0.25">
      <c r="A523" s="263">
        <v>37421320</v>
      </c>
      <c r="B523" s="263" t="s">
        <v>1398</v>
      </c>
      <c r="C523" s="263" t="s">
        <v>869</v>
      </c>
      <c r="D523" s="263" t="s">
        <v>910</v>
      </c>
      <c r="E523" s="263" t="s">
        <v>921</v>
      </c>
      <c r="F523" s="263" t="s">
        <v>1309</v>
      </c>
    </row>
    <row r="524" spans="1:6" x14ac:dyDescent="0.25">
      <c r="A524" s="263">
        <v>37421326</v>
      </c>
      <c r="B524" s="263" t="s">
        <v>565</v>
      </c>
      <c r="C524" s="263" t="s">
        <v>869</v>
      </c>
      <c r="D524" s="263" t="s">
        <v>910</v>
      </c>
      <c r="E524" s="263" t="s">
        <v>921</v>
      </c>
      <c r="F524" s="263" t="s">
        <v>1309</v>
      </c>
    </row>
    <row r="525" spans="1:6" x14ac:dyDescent="0.25">
      <c r="A525" s="263">
        <v>37421327</v>
      </c>
      <c r="B525" s="263" t="s">
        <v>1399</v>
      </c>
      <c r="C525" s="263" t="s">
        <v>869</v>
      </c>
      <c r="D525" s="263" t="s">
        <v>910</v>
      </c>
      <c r="E525" s="263" t="s">
        <v>921</v>
      </c>
      <c r="F525" s="263" t="s">
        <v>1309</v>
      </c>
    </row>
    <row r="526" spans="1:6" x14ac:dyDescent="0.25">
      <c r="A526" s="263">
        <v>37421328</v>
      </c>
      <c r="B526" s="263" t="s">
        <v>1400</v>
      </c>
      <c r="C526" s="263" t="s">
        <v>869</v>
      </c>
      <c r="D526" s="263" t="s">
        <v>910</v>
      </c>
      <c r="E526" s="263" t="s">
        <v>921</v>
      </c>
      <c r="F526" s="263" t="s">
        <v>1309</v>
      </c>
    </row>
    <row r="527" spans="1:6" x14ac:dyDescent="0.25">
      <c r="A527" s="263">
        <v>37421335</v>
      </c>
      <c r="B527" s="263" t="s">
        <v>1401</v>
      </c>
      <c r="C527" s="263" t="s">
        <v>869</v>
      </c>
      <c r="D527" s="263" t="s">
        <v>910</v>
      </c>
      <c r="E527" s="263" t="s">
        <v>921</v>
      </c>
      <c r="F527" s="263" t="s">
        <v>1309</v>
      </c>
    </row>
    <row r="528" spans="1:6" x14ac:dyDescent="0.25">
      <c r="A528" s="263">
        <v>37421341</v>
      </c>
      <c r="B528" s="263" t="s">
        <v>1402</v>
      </c>
      <c r="C528" s="263" t="s">
        <v>869</v>
      </c>
      <c r="D528" s="263" t="s">
        <v>910</v>
      </c>
      <c r="E528" s="263" t="s">
        <v>921</v>
      </c>
      <c r="F528" s="263" t="s">
        <v>1309</v>
      </c>
    </row>
    <row r="529" spans="1:6" x14ac:dyDescent="0.25">
      <c r="A529" s="263">
        <v>37421399</v>
      </c>
      <c r="B529" s="263" t="s">
        <v>1403</v>
      </c>
      <c r="C529" s="263" t="s">
        <v>869</v>
      </c>
      <c r="D529" s="263" t="s">
        <v>910</v>
      </c>
      <c r="E529" s="263" t="s">
        <v>921</v>
      </c>
      <c r="F529" s="263" t="s">
        <v>1309</v>
      </c>
    </row>
    <row r="530" spans="1:6" x14ac:dyDescent="0.25">
      <c r="A530" s="263">
        <v>37421411</v>
      </c>
      <c r="B530" s="263" t="s">
        <v>1404</v>
      </c>
      <c r="C530" s="263" t="s">
        <v>869</v>
      </c>
      <c r="D530" s="263" t="s">
        <v>910</v>
      </c>
      <c r="E530" s="263" t="s">
        <v>921</v>
      </c>
      <c r="F530" s="263" t="s">
        <v>1309</v>
      </c>
    </row>
    <row r="531" spans="1:6" x14ac:dyDescent="0.25">
      <c r="A531" s="263">
        <v>37421418</v>
      </c>
      <c r="B531" s="263" t="s">
        <v>1405</v>
      </c>
      <c r="C531" s="263" t="s">
        <v>869</v>
      </c>
      <c r="D531" s="263" t="s">
        <v>910</v>
      </c>
      <c r="E531" s="263" t="s">
        <v>890</v>
      </c>
      <c r="F531" s="263" t="s">
        <v>1021</v>
      </c>
    </row>
    <row r="532" spans="1:6" x14ac:dyDescent="0.25">
      <c r="A532" s="263">
        <v>37421420</v>
      </c>
      <c r="B532" s="263" t="s">
        <v>1406</v>
      </c>
      <c r="C532" s="263" t="s">
        <v>869</v>
      </c>
      <c r="D532" s="263" t="s">
        <v>910</v>
      </c>
      <c r="E532" s="263" t="s">
        <v>921</v>
      </c>
      <c r="F532" s="263" t="s">
        <v>1309</v>
      </c>
    </row>
    <row r="533" spans="1:6" x14ac:dyDescent="0.25">
      <c r="A533" s="263">
        <v>37421423</v>
      </c>
      <c r="B533" s="263" t="s">
        <v>1407</v>
      </c>
      <c r="C533" s="263" t="s">
        <v>869</v>
      </c>
      <c r="D533" s="263" t="s">
        <v>910</v>
      </c>
      <c r="E533" s="263" t="s">
        <v>890</v>
      </c>
      <c r="F533" s="263" t="s">
        <v>1021</v>
      </c>
    </row>
    <row r="534" spans="1:6" x14ac:dyDescent="0.25">
      <c r="A534" s="263">
        <v>37421424</v>
      </c>
      <c r="B534" s="263" t="s">
        <v>1408</v>
      </c>
      <c r="C534" s="263" t="s">
        <v>869</v>
      </c>
      <c r="D534" s="263" t="s">
        <v>910</v>
      </c>
      <c r="E534" s="263" t="s">
        <v>921</v>
      </c>
      <c r="F534" s="263" t="s">
        <v>1309</v>
      </c>
    </row>
    <row r="535" spans="1:6" x14ac:dyDescent="0.25">
      <c r="A535" s="263">
        <v>37421426</v>
      </c>
      <c r="B535" s="263" t="s">
        <v>1409</v>
      </c>
      <c r="C535" s="263" t="s">
        <v>869</v>
      </c>
      <c r="D535" s="263" t="s">
        <v>910</v>
      </c>
      <c r="E535" s="263" t="s">
        <v>921</v>
      </c>
      <c r="F535" s="263" t="s">
        <v>1309</v>
      </c>
    </row>
    <row r="536" spans="1:6" x14ac:dyDescent="0.25">
      <c r="A536" s="263">
        <v>37421427</v>
      </c>
      <c r="B536" s="263" t="s">
        <v>1410</v>
      </c>
      <c r="C536" s="263" t="s">
        <v>869</v>
      </c>
      <c r="D536" s="263" t="s">
        <v>910</v>
      </c>
      <c r="E536" s="263" t="s">
        <v>921</v>
      </c>
      <c r="F536" s="263" t="s">
        <v>1309</v>
      </c>
    </row>
    <row r="537" spans="1:6" x14ac:dyDescent="0.25">
      <c r="A537" s="263">
        <v>37421428</v>
      </c>
      <c r="B537" s="263" t="s">
        <v>1411</v>
      </c>
      <c r="C537" s="263" t="s">
        <v>869</v>
      </c>
      <c r="D537" s="263" t="s">
        <v>910</v>
      </c>
      <c r="E537" s="263" t="s">
        <v>921</v>
      </c>
      <c r="F537" s="263" t="s">
        <v>1309</v>
      </c>
    </row>
    <row r="538" spans="1:6" x14ac:dyDescent="0.25">
      <c r="A538" s="263">
        <v>37421429</v>
      </c>
      <c r="B538" s="263" t="s">
        <v>1271</v>
      </c>
      <c r="C538" s="263" t="s">
        <v>869</v>
      </c>
      <c r="D538" s="263" t="s">
        <v>910</v>
      </c>
      <c r="E538" s="263" t="s">
        <v>921</v>
      </c>
      <c r="F538" s="263" t="s">
        <v>1309</v>
      </c>
    </row>
    <row r="539" spans="1:6" x14ac:dyDescent="0.25">
      <c r="A539" s="263">
        <v>37421430</v>
      </c>
      <c r="B539" s="263" t="s">
        <v>1412</v>
      </c>
      <c r="C539" s="263" t="s">
        <v>869</v>
      </c>
      <c r="D539" s="263" t="s">
        <v>910</v>
      </c>
      <c r="E539" s="263" t="s">
        <v>921</v>
      </c>
      <c r="F539" s="263" t="s">
        <v>1309</v>
      </c>
    </row>
    <row r="540" spans="1:6" x14ac:dyDescent="0.25">
      <c r="A540" s="263">
        <v>37421431</v>
      </c>
      <c r="B540" s="263" t="s">
        <v>1413</v>
      </c>
      <c r="C540" s="263" t="s">
        <v>869</v>
      </c>
      <c r="D540" s="263" t="s">
        <v>910</v>
      </c>
      <c r="E540" s="263" t="s">
        <v>890</v>
      </c>
      <c r="F540" s="263" t="s">
        <v>1021</v>
      </c>
    </row>
    <row r="541" spans="1:6" x14ac:dyDescent="0.25">
      <c r="A541" s="263">
        <v>37421435</v>
      </c>
      <c r="B541" s="263" t="s">
        <v>1414</v>
      </c>
      <c r="C541" s="263" t="s">
        <v>869</v>
      </c>
      <c r="D541" s="263" t="s">
        <v>910</v>
      </c>
      <c r="E541" s="263" t="s">
        <v>921</v>
      </c>
      <c r="F541" s="263" t="s">
        <v>1309</v>
      </c>
    </row>
    <row r="542" spans="1:6" x14ac:dyDescent="0.25">
      <c r="A542" s="263">
        <v>37421436</v>
      </c>
      <c r="B542" s="263" t="s">
        <v>1415</v>
      </c>
      <c r="C542" s="263" t="s">
        <v>869</v>
      </c>
      <c r="D542" s="263" t="s">
        <v>910</v>
      </c>
      <c r="E542" s="263" t="s">
        <v>921</v>
      </c>
      <c r="F542" s="263" t="s">
        <v>1309</v>
      </c>
    </row>
    <row r="543" spans="1:6" x14ac:dyDescent="0.25">
      <c r="A543" s="263">
        <v>37421437</v>
      </c>
      <c r="B543" s="263" t="s">
        <v>1416</v>
      </c>
      <c r="C543" s="263" t="s">
        <v>869</v>
      </c>
      <c r="D543" s="263" t="s">
        <v>910</v>
      </c>
      <c r="E543" s="263" t="s">
        <v>921</v>
      </c>
      <c r="F543" s="263" t="s">
        <v>1309</v>
      </c>
    </row>
    <row r="544" spans="1:6" x14ac:dyDescent="0.25">
      <c r="A544" s="263">
        <v>37421438</v>
      </c>
      <c r="B544" s="263" t="s">
        <v>1417</v>
      </c>
      <c r="C544" s="263" t="s">
        <v>869</v>
      </c>
      <c r="D544" s="263" t="s">
        <v>910</v>
      </c>
      <c r="E544" s="263" t="s">
        <v>921</v>
      </c>
      <c r="F544" s="263" t="s">
        <v>1309</v>
      </c>
    </row>
    <row r="545" spans="1:6" x14ac:dyDescent="0.25">
      <c r="A545" s="263">
        <v>37421440</v>
      </c>
      <c r="B545" s="263" t="s">
        <v>1418</v>
      </c>
      <c r="C545" s="263" t="s">
        <v>869</v>
      </c>
      <c r="D545" s="263" t="s">
        <v>910</v>
      </c>
      <c r="E545" s="263" t="s">
        <v>890</v>
      </c>
      <c r="F545" s="263" t="s">
        <v>1021</v>
      </c>
    </row>
    <row r="546" spans="1:6" x14ac:dyDescent="0.25">
      <c r="A546" s="263">
        <v>37421441</v>
      </c>
      <c r="B546" s="263" t="s">
        <v>1419</v>
      </c>
      <c r="C546" s="263" t="s">
        <v>869</v>
      </c>
      <c r="D546" s="263" t="s">
        <v>910</v>
      </c>
      <c r="E546" s="263" t="s">
        <v>921</v>
      </c>
      <c r="F546" s="263" t="s">
        <v>1309</v>
      </c>
    </row>
    <row r="547" spans="1:6" x14ac:dyDescent="0.25">
      <c r="A547" s="263">
        <v>37421443</v>
      </c>
      <c r="B547" s="263" t="s">
        <v>1420</v>
      </c>
      <c r="C547" s="263" t="s">
        <v>869</v>
      </c>
      <c r="D547" s="263" t="s">
        <v>910</v>
      </c>
      <c r="E547" s="263" t="s">
        <v>921</v>
      </c>
      <c r="F547" s="263" t="s">
        <v>1309</v>
      </c>
    </row>
    <row r="548" spans="1:6" x14ac:dyDescent="0.25">
      <c r="A548" s="263">
        <v>37421444</v>
      </c>
      <c r="B548" s="263" t="s">
        <v>1421</v>
      </c>
      <c r="C548" s="263" t="s">
        <v>869</v>
      </c>
      <c r="D548" s="263" t="s">
        <v>910</v>
      </c>
      <c r="E548" s="263" t="s">
        <v>921</v>
      </c>
      <c r="F548" s="263" t="s">
        <v>1309</v>
      </c>
    </row>
    <row r="549" spans="1:6" x14ac:dyDescent="0.25">
      <c r="A549" s="263">
        <v>37421445</v>
      </c>
      <c r="B549" s="263" t="s">
        <v>1272</v>
      </c>
      <c r="C549" s="263" t="s">
        <v>869</v>
      </c>
      <c r="D549" s="263" t="s">
        <v>910</v>
      </c>
      <c r="E549" s="263" t="s">
        <v>921</v>
      </c>
      <c r="F549" s="263" t="s">
        <v>1309</v>
      </c>
    </row>
    <row r="550" spans="1:6" x14ac:dyDescent="0.25">
      <c r="A550" s="263">
        <v>37421449</v>
      </c>
      <c r="B550" s="263" t="s">
        <v>1422</v>
      </c>
      <c r="C550" s="263" t="s">
        <v>869</v>
      </c>
      <c r="D550" s="263" t="s">
        <v>910</v>
      </c>
      <c r="E550" s="263" t="s">
        <v>921</v>
      </c>
      <c r="F550" s="263" t="s">
        <v>1309</v>
      </c>
    </row>
    <row r="551" spans="1:6" x14ac:dyDescent="0.25">
      <c r="A551" s="263">
        <v>37421451</v>
      </c>
      <c r="B551" s="263" t="s">
        <v>1423</v>
      </c>
      <c r="C551" s="263" t="s">
        <v>869</v>
      </c>
      <c r="D551" s="263" t="s">
        <v>910</v>
      </c>
      <c r="E551" s="263" t="s">
        <v>921</v>
      </c>
      <c r="F551" s="263" t="s">
        <v>1309</v>
      </c>
    </row>
    <row r="552" spans="1:6" x14ac:dyDescent="0.25">
      <c r="A552" s="263">
        <v>37421452</v>
      </c>
      <c r="B552" s="263" t="s">
        <v>1424</v>
      </c>
      <c r="C552" s="263" t="s">
        <v>869</v>
      </c>
      <c r="D552" s="263" t="s">
        <v>910</v>
      </c>
      <c r="E552" s="263" t="s">
        <v>890</v>
      </c>
      <c r="F552" s="263" t="s">
        <v>1021</v>
      </c>
    </row>
    <row r="553" spans="1:6" x14ac:dyDescent="0.25">
      <c r="A553" s="263">
        <v>37421457</v>
      </c>
      <c r="B553" s="263" t="s">
        <v>1425</v>
      </c>
      <c r="C553" s="263" t="s">
        <v>869</v>
      </c>
      <c r="D553" s="263" t="s">
        <v>910</v>
      </c>
      <c r="E553" s="263" t="s">
        <v>921</v>
      </c>
      <c r="F553" s="263" t="s">
        <v>1309</v>
      </c>
    </row>
    <row r="554" spans="1:6" x14ac:dyDescent="0.25">
      <c r="A554" s="263">
        <v>37421463</v>
      </c>
      <c r="B554" s="263" t="s">
        <v>1426</v>
      </c>
      <c r="C554" s="263" t="s">
        <v>869</v>
      </c>
      <c r="D554" s="263" t="s">
        <v>910</v>
      </c>
      <c r="E554" s="263" t="s">
        <v>890</v>
      </c>
      <c r="F554" s="263" t="s">
        <v>1021</v>
      </c>
    </row>
    <row r="555" spans="1:6" x14ac:dyDescent="0.25">
      <c r="A555" s="263">
        <v>37421466</v>
      </c>
      <c r="B555" s="263" t="s">
        <v>524</v>
      </c>
      <c r="C555" s="263" t="s">
        <v>869</v>
      </c>
      <c r="D555" s="263" t="s">
        <v>910</v>
      </c>
      <c r="E555" s="263" t="s">
        <v>890</v>
      </c>
      <c r="F555" s="263" t="s">
        <v>1021</v>
      </c>
    </row>
    <row r="556" spans="1:6" x14ac:dyDescent="0.25">
      <c r="A556" s="263">
        <v>37421470</v>
      </c>
      <c r="B556" s="263" t="s">
        <v>1427</v>
      </c>
      <c r="C556" s="263" t="s">
        <v>869</v>
      </c>
      <c r="D556" s="263" t="s">
        <v>910</v>
      </c>
      <c r="E556" s="263" t="s">
        <v>890</v>
      </c>
      <c r="F556" s="263" t="s">
        <v>1021</v>
      </c>
    </row>
    <row r="557" spans="1:6" x14ac:dyDescent="0.25">
      <c r="A557" s="263">
        <v>37421499</v>
      </c>
      <c r="B557" s="263" t="s">
        <v>934</v>
      </c>
      <c r="C557" s="263" t="s">
        <v>869</v>
      </c>
      <c r="D557" s="263" t="s">
        <v>910</v>
      </c>
      <c r="E557" s="263" t="s">
        <v>921</v>
      </c>
      <c r="F557" s="263" t="s">
        <v>1309</v>
      </c>
    </row>
    <row r="558" spans="1:6" x14ac:dyDescent="0.25">
      <c r="A558" s="263">
        <v>37421599</v>
      </c>
      <c r="B558" s="263" t="s">
        <v>1428</v>
      </c>
      <c r="C558" s="263" t="s">
        <v>869</v>
      </c>
      <c r="D558" s="263" t="s">
        <v>910</v>
      </c>
      <c r="E558" s="263" t="s">
        <v>921</v>
      </c>
      <c r="F558" s="263" t="s">
        <v>1309</v>
      </c>
    </row>
    <row r="559" spans="1:6" x14ac:dyDescent="0.25">
      <c r="A559" s="263">
        <v>37421658</v>
      </c>
      <c r="B559" s="263" t="s">
        <v>1429</v>
      </c>
      <c r="C559" s="263" t="s">
        <v>869</v>
      </c>
      <c r="D559" s="263" t="s">
        <v>910</v>
      </c>
      <c r="E559" s="263" t="s">
        <v>921</v>
      </c>
      <c r="F559" s="263" t="s">
        <v>1309</v>
      </c>
    </row>
    <row r="560" spans="1:6" x14ac:dyDescent="0.25">
      <c r="A560" s="263">
        <v>37422099</v>
      </c>
      <c r="B560" s="263" t="s">
        <v>1430</v>
      </c>
      <c r="C560" s="263" t="s">
        <v>869</v>
      </c>
      <c r="D560" s="263" t="s">
        <v>910</v>
      </c>
      <c r="E560" s="263" t="s">
        <v>1075</v>
      </c>
      <c r="F560" s="263" t="s">
        <v>1431</v>
      </c>
    </row>
    <row r="561" spans="1:6" x14ac:dyDescent="0.25">
      <c r="A561" s="263">
        <v>37423035</v>
      </c>
      <c r="B561" s="263" t="s">
        <v>1432</v>
      </c>
      <c r="C561" s="263" t="s">
        <v>869</v>
      </c>
      <c r="D561" s="263" t="s">
        <v>910</v>
      </c>
      <c r="E561" s="263" t="s">
        <v>1075</v>
      </c>
      <c r="F561" s="263" t="s">
        <v>1433</v>
      </c>
    </row>
    <row r="562" spans="1:6" x14ac:dyDescent="0.25">
      <c r="A562" s="263">
        <v>37430120</v>
      </c>
      <c r="B562" s="263" t="s">
        <v>1434</v>
      </c>
      <c r="C562" s="263" t="s">
        <v>869</v>
      </c>
      <c r="D562" s="263" t="s">
        <v>910</v>
      </c>
      <c r="E562" s="263" t="s">
        <v>921</v>
      </c>
      <c r="F562" s="263" t="s">
        <v>1307</v>
      </c>
    </row>
    <row r="563" spans="1:6" x14ac:dyDescent="0.25">
      <c r="A563" s="263">
        <v>37430227</v>
      </c>
      <c r="B563" s="263" t="s">
        <v>1435</v>
      </c>
      <c r="C563" s="263" t="s">
        <v>869</v>
      </c>
      <c r="D563" s="263" t="s">
        <v>910</v>
      </c>
      <c r="E563" s="263" t="s">
        <v>921</v>
      </c>
      <c r="F563" s="263" t="s">
        <v>1307</v>
      </c>
    </row>
    <row r="564" spans="1:6" x14ac:dyDescent="0.25">
      <c r="A564" s="263">
        <v>37430299</v>
      </c>
      <c r="B564" s="263" t="s">
        <v>1436</v>
      </c>
      <c r="C564" s="263" t="s">
        <v>869</v>
      </c>
      <c r="D564" s="263" t="s">
        <v>910</v>
      </c>
      <c r="E564" s="263" t="s">
        <v>921</v>
      </c>
      <c r="F564" s="263" t="s">
        <v>1307</v>
      </c>
    </row>
    <row r="565" spans="1:6" x14ac:dyDescent="0.25">
      <c r="A565" s="263">
        <v>37430326</v>
      </c>
      <c r="B565" s="263" t="s">
        <v>576</v>
      </c>
      <c r="C565" s="263" t="s">
        <v>869</v>
      </c>
      <c r="D565" s="263" t="s">
        <v>910</v>
      </c>
      <c r="E565" s="263" t="s">
        <v>921</v>
      </c>
      <c r="F565" s="263" t="s">
        <v>1307</v>
      </c>
    </row>
    <row r="566" spans="1:6" x14ac:dyDescent="0.25">
      <c r="A566" s="263">
        <v>37430426</v>
      </c>
      <c r="B566" s="263" t="s">
        <v>1437</v>
      </c>
      <c r="C566" s="263" t="s">
        <v>869</v>
      </c>
      <c r="D566" s="263" t="s">
        <v>910</v>
      </c>
      <c r="E566" s="263" t="s">
        <v>921</v>
      </c>
      <c r="F566" s="263" t="s">
        <v>1307</v>
      </c>
    </row>
    <row r="567" spans="1:6" x14ac:dyDescent="0.25">
      <c r="A567" s="263">
        <v>37430427</v>
      </c>
      <c r="B567" s="263" t="s">
        <v>1438</v>
      </c>
      <c r="C567" s="263" t="s">
        <v>869</v>
      </c>
      <c r="D567" s="263" t="s">
        <v>910</v>
      </c>
      <c r="E567" s="263" t="s">
        <v>921</v>
      </c>
      <c r="F567" s="263" t="s">
        <v>1307</v>
      </c>
    </row>
    <row r="568" spans="1:6" x14ac:dyDescent="0.25">
      <c r="A568" s="263">
        <v>37430428</v>
      </c>
      <c r="B568" s="263" t="s">
        <v>1439</v>
      </c>
      <c r="C568" s="263" t="s">
        <v>869</v>
      </c>
      <c r="D568" s="263" t="s">
        <v>910</v>
      </c>
      <c r="E568" s="263" t="s">
        <v>921</v>
      </c>
      <c r="F568" s="263" t="s">
        <v>1307</v>
      </c>
    </row>
    <row r="569" spans="1:6" x14ac:dyDescent="0.25">
      <c r="A569" s="263">
        <v>37430429</v>
      </c>
      <c r="B569" s="263" t="s">
        <v>1440</v>
      </c>
      <c r="C569" s="263" t="s">
        <v>869</v>
      </c>
      <c r="D569" s="263" t="s">
        <v>910</v>
      </c>
      <c r="E569" s="263" t="s">
        <v>921</v>
      </c>
      <c r="F569" s="263" t="s">
        <v>1307</v>
      </c>
    </row>
    <row r="570" spans="1:6" x14ac:dyDescent="0.25">
      <c r="A570" s="263">
        <v>37430433</v>
      </c>
      <c r="B570" s="263" t="s">
        <v>1441</v>
      </c>
      <c r="C570" s="263" t="s">
        <v>869</v>
      </c>
      <c r="D570" s="263" t="s">
        <v>910</v>
      </c>
      <c r="E570" s="263" t="s">
        <v>921</v>
      </c>
      <c r="F570" s="263" t="s">
        <v>1307</v>
      </c>
    </row>
    <row r="571" spans="1:6" x14ac:dyDescent="0.25">
      <c r="A571" s="263">
        <v>37430434</v>
      </c>
      <c r="B571" s="263" t="s">
        <v>1442</v>
      </c>
      <c r="C571" s="263" t="s">
        <v>869</v>
      </c>
      <c r="D571" s="263" t="s">
        <v>910</v>
      </c>
      <c r="E571" s="263" t="s">
        <v>921</v>
      </c>
      <c r="F571" s="263" t="s">
        <v>1307</v>
      </c>
    </row>
    <row r="572" spans="1:6" x14ac:dyDescent="0.25">
      <c r="A572" s="263">
        <v>37430440</v>
      </c>
      <c r="B572" s="263" t="s">
        <v>1443</v>
      </c>
      <c r="C572" s="263" t="s">
        <v>869</v>
      </c>
      <c r="D572" s="263" t="s">
        <v>910</v>
      </c>
      <c r="E572" s="263" t="s">
        <v>921</v>
      </c>
      <c r="F572" s="263" t="s">
        <v>1307</v>
      </c>
    </row>
    <row r="573" spans="1:6" x14ac:dyDescent="0.25">
      <c r="A573" s="263">
        <v>37430443</v>
      </c>
      <c r="B573" s="263" t="s">
        <v>1444</v>
      </c>
      <c r="C573" s="263" t="s">
        <v>869</v>
      </c>
      <c r="D573" s="263" t="s">
        <v>910</v>
      </c>
      <c r="E573" s="263" t="s">
        <v>921</v>
      </c>
      <c r="F573" s="263" t="s">
        <v>1307</v>
      </c>
    </row>
    <row r="574" spans="1:6" x14ac:dyDescent="0.25">
      <c r="A574" s="263">
        <v>37430454</v>
      </c>
      <c r="B574" s="263" t="s">
        <v>1445</v>
      </c>
      <c r="C574" s="263" t="s">
        <v>869</v>
      </c>
      <c r="D574" s="263" t="s">
        <v>910</v>
      </c>
      <c r="E574" s="263" t="s">
        <v>921</v>
      </c>
      <c r="F574" s="263" t="s">
        <v>1307</v>
      </c>
    </row>
    <row r="575" spans="1:6" x14ac:dyDescent="0.25">
      <c r="A575" s="263">
        <v>37430459</v>
      </c>
      <c r="B575" s="263" t="s">
        <v>1446</v>
      </c>
      <c r="C575" s="263" t="s">
        <v>869</v>
      </c>
      <c r="D575" s="263" t="s">
        <v>910</v>
      </c>
      <c r="E575" s="263" t="s">
        <v>921</v>
      </c>
      <c r="F575" s="263" t="s">
        <v>1307</v>
      </c>
    </row>
    <row r="576" spans="1:6" x14ac:dyDescent="0.25">
      <c r="A576" s="263">
        <v>37430499</v>
      </c>
      <c r="B576" s="263" t="s">
        <v>1447</v>
      </c>
      <c r="C576" s="263" t="s">
        <v>869</v>
      </c>
      <c r="D576" s="263" t="s">
        <v>910</v>
      </c>
      <c r="E576" s="263" t="s">
        <v>921</v>
      </c>
      <c r="F576" s="263" t="s">
        <v>1307</v>
      </c>
    </row>
    <row r="577" spans="1:6" x14ac:dyDescent="0.25">
      <c r="A577" s="263">
        <v>37430627</v>
      </c>
      <c r="B577" s="263" t="s">
        <v>1448</v>
      </c>
      <c r="C577" s="263" t="s">
        <v>869</v>
      </c>
      <c r="D577" s="263" t="s">
        <v>910</v>
      </c>
      <c r="E577" s="263" t="s">
        <v>921</v>
      </c>
      <c r="F577" s="263" t="s">
        <v>1307</v>
      </c>
    </row>
    <row r="578" spans="1:6" x14ac:dyDescent="0.25">
      <c r="A578" s="263">
        <v>37430699</v>
      </c>
      <c r="B578" s="263" t="s">
        <v>1449</v>
      </c>
      <c r="C578" s="263" t="s">
        <v>869</v>
      </c>
      <c r="D578" s="263" t="s">
        <v>910</v>
      </c>
      <c r="E578" s="263" t="s">
        <v>921</v>
      </c>
      <c r="F578" s="263" t="s">
        <v>1307</v>
      </c>
    </row>
    <row r="579" spans="1:6" x14ac:dyDescent="0.25">
      <c r="A579" s="263">
        <v>37430726</v>
      </c>
      <c r="B579" s="263" t="s">
        <v>1450</v>
      </c>
      <c r="C579" s="263" t="s">
        <v>869</v>
      </c>
      <c r="D579" s="263" t="s">
        <v>910</v>
      </c>
      <c r="E579" s="263" t="s">
        <v>921</v>
      </c>
      <c r="F579" s="263" t="s">
        <v>1307</v>
      </c>
    </row>
    <row r="580" spans="1:6" x14ac:dyDescent="0.25">
      <c r="A580" s="263">
        <v>37430820</v>
      </c>
      <c r="B580" s="263" t="s">
        <v>1451</v>
      </c>
      <c r="C580" s="263" t="s">
        <v>869</v>
      </c>
      <c r="D580" s="263" t="s">
        <v>910</v>
      </c>
      <c r="E580" s="263" t="s">
        <v>921</v>
      </c>
      <c r="F580" s="263" t="s">
        <v>1307</v>
      </c>
    </row>
    <row r="581" spans="1:6" x14ac:dyDescent="0.25">
      <c r="A581" s="263">
        <v>37430899</v>
      </c>
      <c r="B581" s="263" t="s">
        <v>1452</v>
      </c>
      <c r="C581" s="263" t="s">
        <v>869</v>
      </c>
      <c r="D581" s="263" t="s">
        <v>910</v>
      </c>
      <c r="E581" s="263" t="s">
        <v>921</v>
      </c>
      <c r="F581" s="263" t="s">
        <v>1307</v>
      </c>
    </row>
    <row r="582" spans="1:6" x14ac:dyDescent="0.25">
      <c r="A582" s="263">
        <v>37430920</v>
      </c>
      <c r="B582" s="263" t="s">
        <v>1453</v>
      </c>
      <c r="C582" s="263" t="s">
        <v>869</v>
      </c>
      <c r="D582" s="263" t="s">
        <v>910</v>
      </c>
      <c r="E582" s="263" t="s">
        <v>921</v>
      </c>
      <c r="F582" s="263" t="s">
        <v>1307</v>
      </c>
    </row>
    <row r="583" spans="1:6" x14ac:dyDescent="0.25">
      <c r="A583" s="263">
        <v>37440111</v>
      </c>
      <c r="B583" s="263" t="s">
        <v>1454</v>
      </c>
      <c r="C583" s="263" t="s">
        <v>869</v>
      </c>
      <c r="D583" s="263" t="s">
        <v>910</v>
      </c>
      <c r="E583" s="263" t="s">
        <v>890</v>
      </c>
      <c r="F583" s="263" t="s">
        <v>341</v>
      </c>
    </row>
    <row r="584" spans="1:6" x14ac:dyDescent="0.25">
      <c r="A584" s="263">
        <v>37440113</v>
      </c>
      <c r="B584" s="263" t="s">
        <v>1455</v>
      </c>
      <c r="C584" s="263" t="s">
        <v>869</v>
      </c>
      <c r="D584" s="263" t="s">
        <v>910</v>
      </c>
      <c r="E584" s="263" t="s">
        <v>921</v>
      </c>
      <c r="F584" s="263" t="s">
        <v>1212</v>
      </c>
    </row>
    <row r="585" spans="1:6" x14ac:dyDescent="0.25">
      <c r="A585" s="288">
        <v>37440114</v>
      </c>
      <c r="B585" s="288" t="s">
        <v>583</v>
      </c>
      <c r="C585" s="263" t="s">
        <v>869</v>
      </c>
      <c r="D585" s="263" t="s">
        <v>910</v>
      </c>
      <c r="E585" s="263" t="s">
        <v>921</v>
      </c>
      <c r="F585" s="263" t="s">
        <v>1212</v>
      </c>
    </row>
    <row r="586" spans="1:6" x14ac:dyDescent="0.25">
      <c r="A586" s="263">
        <v>37440115</v>
      </c>
      <c r="B586" s="263" t="s">
        <v>1456</v>
      </c>
      <c r="C586" s="263" t="s">
        <v>869</v>
      </c>
      <c r="D586" s="263" t="s">
        <v>910</v>
      </c>
      <c r="E586" s="263" t="s">
        <v>921</v>
      </c>
      <c r="F586" s="263" t="s">
        <v>1212</v>
      </c>
    </row>
    <row r="587" spans="1:6" x14ac:dyDescent="0.25">
      <c r="A587" s="263">
        <v>37440116</v>
      </c>
      <c r="B587" s="263" t="s">
        <v>1457</v>
      </c>
      <c r="C587" s="263" t="s">
        <v>869</v>
      </c>
      <c r="D587" s="263" t="s">
        <v>910</v>
      </c>
      <c r="E587" s="263" t="s">
        <v>921</v>
      </c>
      <c r="F587" s="263" t="s">
        <v>1212</v>
      </c>
    </row>
    <row r="588" spans="1:6" x14ac:dyDescent="0.25">
      <c r="A588" s="263">
        <v>37440117</v>
      </c>
      <c r="B588" s="263" t="s">
        <v>1458</v>
      </c>
      <c r="C588" s="263" t="s">
        <v>869</v>
      </c>
      <c r="D588" s="263" t="s">
        <v>910</v>
      </c>
      <c r="E588" s="263" t="s">
        <v>921</v>
      </c>
      <c r="F588" s="263" t="s">
        <v>1212</v>
      </c>
    </row>
    <row r="589" spans="1:6" x14ac:dyDescent="0.25">
      <c r="A589" s="288">
        <v>37440118</v>
      </c>
      <c r="B589" s="288" t="s">
        <v>1459</v>
      </c>
      <c r="C589" s="263" t="s">
        <v>869</v>
      </c>
      <c r="D589" s="263" t="s">
        <v>910</v>
      </c>
      <c r="E589" s="263" t="s">
        <v>921</v>
      </c>
      <c r="F589" s="263" t="s">
        <v>1212</v>
      </c>
    </row>
    <row r="590" spans="1:6" x14ac:dyDescent="0.25">
      <c r="A590" s="263">
        <v>37440119</v>
      </c>
      <c r="B590" s="263" t="s">
        <v>1460</v>
      </c>
      <c r="C590" s="263" t="s">
        <v>869</v>
      </c>
      <c r="D590" s="263" t="s">
        <v>910</v>
      </c>
      <c r="E590" s="263" t="s">
        <v>921</v>
      </c>
      <c r="F590" s="263" t="s">
        <v>1212</v>
      </c>
    </row>
    <row r="591" spans="1:6" x14ac:dyDescent="0.25">
      <c r="A591" s="263">
        <v>37440120</v>
      </c>
      <c r="B591" s="263" t="s">
        <v>1461</v>
      </c>
      <c r="C591" s="263" t="s">
        <v>869</v>
      </c>
      <c r="D591" s="263" t="s">
        <v>910</v>
      </c>
      <c r="E591" s="263" t="s">
        <v>921</v>
      </c>
      <c r="F591" s="263" t="s">
        <v>1212</v>
      </c>
    </row>
    <row r="592" spans="1:6" x14ac:dyDescent="0.25">
      <c r="A592" s="263">
        <v>37440122</v>
      </c>
      <c r="B592" s="263" t="s">
        <v>1462</v>
      </c>
      <c r="C592" s="263" t="s">
        <v>869</v>
      </c>
      <c r="D592" s="263" t="s">
        <v>910</v>
      </c>
      <c r="E592" s="263" t="s">
        <v>921</v>
      </c>
      <c r="F592" s="263" t="s">
        <v>1212</v>
      </c>
    </row>
    <row r="593" spans="1:6" x14ac:dyDescent="0.25">
      <c r="A593" s="263">
        <v>37440123</v>
      </c>
      <c r="B593" s="263" t="s">
        <v>1463</v>
      </c>
      <c r="C593" s="263" t="s">
        <v>869</v>
      </c>
      <c r="D593" s="263" t="s">
        <v>910</v>
      </c>
      <c r="E593" s="263" t="s">
        <v>921</v>
      </c>
      <c r="F593" s="263" t="s">
        <v>1212</v>
      </c>
    </row>
    <row r="594" spans="1:6" x14ac:dyDescent="0.25">
      <c r="A594" s="263">
        <v>37440124</v>
      </c>
      <c r="B594" s="263" t="s">
        <v>1464</v>
      </c>
      <c r="C594" s="263" t="s">
        <v>869</v>
      </c>
      <c r="D594" s="263" t="s">
        <v>910</v>
      </c>
      <c r="E594" s="263" t="s">
        <v>921</v>
      </c>
      <c r="F594" s="263" t="s">
        <v>1212</v>
      </c>
    </row>
    <row r="595" spans="1:6" x14ac:dyDescent="0.25">
      <c r="A595" s="263">
        <v>37440125</v>
      </c>
      <c r="B595" s="263" t="s">
        <v>1465</v>
      </c>
      <c r="C595" s="263" t="s">
        <v>869</v>
      </c>
      <c r="D595" s="263" t="s">
        <v>910</v>
      </c>
      <c r="E595" s="263" t="s">
        <v>921</v>
      </c>
      <c r="F595" s="263" t="s">
        <v>1212</v>
      </c>
    </row>
    <row r="596" spans="1:6" x14ac:dyDescent="0.25">
      <c r="A596" s="263">
        <v>37440126</v>
      </c>
      <c r="B596" s="263" t="s">
        <v>1466</v>
      </c>
      <c r="C596" s="263" t="s">
        <v>869</v>
      </c>
      <c r="D596" s="263" t="s">
        <v>910</v>
      </c>
      <c r="E596" s="263" t="s">
        <v>921</v>
      </c>
      <c r="F596" s="263" t="s">
        <v>1212</v>
      </c>
    </row>
    <row r="597" spans="1:6" x14ac:dyDescent="0.25">
      <c r="A597" s="263">
        <v>37440127</v>
      </c>
      <c r="B597" s="263" t="s">
        <v>1467</v>
      </c>
      <c r="C597" s="263" t="s">
        <v>869</v>
      </c>
      <c r="D597" s="263" t="s">
        <v>910</v>
      </c>
      <c r="E597" s="263" t="s">
        <v>921</v>
      </c>
      <c r="F597" s="263" t="s">
        <v>1212</v>
      </c>
    </row>
    <row r="598" spans="1:6" x14ac:dyDescent="0.25">
      <c r="A598" s="263">
        <v>37440128</v>
      </c>
      <c r="B598" s="263" t="s">
        <v>1468</v>
      </c>
      <c r="C598" s="263" t="s">
        <v>869</v>
      </c>
      <c r="D598" s="263" t="s">
        <v>910</v>
      </c>
      <c r="E598" s="263" t="s">
        <v>921</v>
      </c>
      <c r="F598" s="263" t="s">
        <v>1212</v>
      </c>
    </row>
    <row r="599" spans="1:6" x14ac:dyDescent="0.25">
      <c r="A599" s="263">
        <v>37440129</v>
      </c>
      <c r="B599" s="263" t="s">
        <v>1469</v>
      </c>
      <c r="C599" s="263" t="s">
        <v>869</v>
      </c>
      <c r="D599" s="263" t="s">
        <v>910</v>
      </c>
      <c r="E599" s="263" t="s">
        <v>921</v>
      </c>
      <c r="F599" s="263" t="s">
        <v>1212</v>
      </c>
    </row>
    <row r="600" spans="1:6" x14ac:dyDescent="0.25">
      <c r="A600" s="288">
        <v>37440130</v>
      </c>
      <c r="B600" s="288" t="s">
        <v>1470</v>
      </c>
      <c r="C600" s="263" t="s">
        <v>869</v>
      </c>
      <c r="D600" s="263" t="s">
        <v>910</v>
      </c>
      <c r="E600" s="263" t="s">
        <v>921</v>
      </c>
      <c r="F600" s="263" t="s">
        <v>1212</v>
      </c>
    </row>
    <row r="601" spans="1:6" x14ac:dyDescent="0.25">
      <c r="A601" s="288">
        <v>37440135</v>
      </c>
      <c r="B601" s="288" t="s">
        <v>1471</v>
      </c>
      <c r="C601" s="263" t="s">
        <v>869</v>
      </c>
      <c r="D601" s="263" t="s">
        <v>910</v>
      </c>
      <c r="E601" s="263" t="s">
        <v>921</v>
      </c>
      <c r="F601" s="263" t="s">
        <v>1212</v>
      </c>
    </row>
    <row r="602" spans="1:6" x14ac:dyDescent="0.25">
      <c r="A602" s="263">
        <v>37440137</v>
      </c>
      <c r="B602" s="263" t="s">
        <v>1472</v>
      </c>
      <c r="C602" s="263" t="s">
        <v>869</v>
      </c>
      <c r="D602" s="263" t="s">
        <v>910</v>
      </c>
      <c r="E602" s="263" t="s">
        <v>921</v>
      </c>
      <c r="F602" s="263" t="s">
        <v>1212</v>
      </c>
    </row>
    <row r="603" spans="1:6" x14ac:dyDescent="0.25">
      <c r="A603" s="288">
        <v>37440144</v>
      </c>
      <c r="B603" s="288" t="s">
        <v>1473</v>
      </c>
      <c r="C603" s="263" t="s">
        <v>869</v>
      </c>
      <c r="D603" s="263" t="s">
        <v>910</v>
      </c>
      <c r="E603" s="263" t="s">
        <v>921</v>
      </c>
      <c r="F603" s="263" t="s">
        <v>1212</v>
      </c>
    </row>
    <row r="604" spans="1:6" x14ac:dyDescent="0.25">
      <c r="A604" s="263">
        <v>37440145</v>
      </c>
      <c r="B604" s="263" t="s">
        <v>1474</v>
      </c>
      <c r="C604" s="263" t="s">
        <v>869</v>
      </c>
      <c r="D604" s="263" t="s">
        <v>910</v>
      </c>
      <c r="E604" s="263" t="s">
        <v>921</v>
      </c>
      <c r="F604" s="263" t="s">
        <v>1212</v>
      </c>
    </row>
    <row r="605" spans="1:6" x14ac:dyDescent="0.25">
      <c r="A605" s="263">
        <v>37440154</v>
      </c>
      <c r="B605" s="263" t="s">
        <v>1475</v>
      </c>
      <c r="C605" s="263" t="s">
        <v>869</v>
      </c>
      <c r="D605" s="263" t="s">
        <v>910</v>
      </c>
      <c r="E605" s="263" t="s">
        <v>921</v>
      </c>
      <c r="F605" s="263" t="s">
        <v>1212</v>
      </c>
    </row>
    <row r="606" spans="1:6" x14ac:dyDescent="0.25">
      <c r="A606" s="263">
        <v>37440156</v>
      </c>
      <c r="B606" s="263" t="s">
        <v>1476</v>
      </c>
      <c r="C606" s="263" t="s">
        <v>869</v>
      </c>
      <c r="D606" s="263" t="s">
        <v>910</v>
      </c>
      <c r="E606" s="263" t="s">
        <v>921</v>
      </c>
      <c r="F606" s="263" t="s">
        <v>1212</v>
      </c>
    </row>
    <row r="607" spans="1:6" x14ac:dyDescent="0.25">
      <c r="A607" s="263">
        <v>37440157</v>
      </c>
      <c r="B607" s="263" t="s">
        <v>1477</v>
      </c>
      <c r="C607" s="263" t="s">
        <v>869</v>
      </c>
      <c r="D607" s="263" t="s">
        <v>910</v>
      </c>
      <c r="E607" s="263" t="s">
        <v>921</v>
      </c>
      <c r="F607" s="263" t="s">
        <v>1212</v>
      </c>
    </row>
    <row r="608" spans="1:6" x14ac:dyDescent="0.25">
      <c r="A608" s="263">
        <v>37440166</v>
      </c>
      <c r="B608" s="263" t="s">
        <v>1478</v>
      </c>
      <c r="C608" s="263" t="s">
        <v>869</v>
      </c>
      <c r="D608" s="263" t="s">
        <v>910</v>
      </c>
      <c r="E608" s="263" t="s">
        <v>921</v>
      </c>
      <c r="F608" s="263" t="s">
        <v>1212</v>
      </c>
    </row>
    <row r="609" spans="1:6" x14ac:dyDescent="0.25">
      <c r="A609" s="263">
        <v>37440199</v>
      </c>
      <c r="B609" s="263" t="s">
        <v>1479</v>
      </c>
      <c r="C609" s="263" t="s">
        <v>869</v>
      </c>
      <c r="D609" s="263" t="s">
        <v>910</v>
      </c>
      <c r="E609" s="263" t="s">
        <v>921</v>
      </c>
      <c r="F609" s="263" t="s">
        <v>1212</v>
      </c>
    </row>
    <row r="610" spans="1:6" x14ac:dyDescent="0.25">
      <c r="A610" s="263">
        <v>37440220</v>
      </c>
      <c r="B610" s="263" t="s">
        <v>1480</v>
      </c>
      <c r="C610" s="263" t="s">
        <v>869</v>
      </c>
      <c r="D610" s="263" t="s">
        <v>910</v>
      </c>
      <c r="E610" s="263" t="s">
        <v>921</v>
      </c>
      <c r="F610" s="263" t="s">
        <v>1212</v>
      </c>
    </row>
    <row r="611" spans="1:6" x14ac:dyDescent="0.25">
      <c r="A611" s="263">
        <v>37440226</v>
      </c>
      <c r="B611" s="263" t="s">
        <v>1481</v>
      </c>
      <c r="C611" s="263" t="s">
        <v>869</v>
      </c>
      <c r="D611" s="263" t="s">
        <v>910</v>
      </c>
      <c r="E611" s="263" t="s">
        <v>921</v>
      </c>
      <c r="F611" s="263" t="s">
        <v>1212</v>
      </c>
    </row>
    <row r="612" spans="1:6" x14ac:dyDescent="0.25">
      <c r="A612" s="288">
        <v>37440231</v>
      </c>
      <c r="B612" s="288" t="s">
        <v>1482</v>
      </c>
      <c r="C612" s="263" t="s">
        <v>869</v>
      </c>
      <c r="D612" s="263" t="s">
        <v>910</v>
      </c>
      <c r="E612" s="263" t="s">
        <v>921</v>
      </c>
      <c r="F612" s="263" t="s">
        <v>1212</v>
      </c>
    </row>
    <row r="613" spans="1:6" x14ac:dyDescent="0.25">
      <c r="A613" s="263">
        <v>37440235</v>
      </c>
      <c r="B613" s="263" t="s">
        <v>1483</v>
      </c>
      <c r="C613" s="263" t="s">
        <v>869</v>
      </c>
      <c r="D613" s="263" t="s">
        <v>910</v>
      </c>
      <c r="E613" s="263" t="s">
        <v>921</v>
      </c>
      <c r="F613" s="263" t="s">
        <v>1212</v>
      </c>
    </row>
    <row r="614" spans="1:6" x14ac:dyDescent="0.25">
      <c r="A614" s="263">
        <v>37440236</v>
      </c>
      <c r="B614" s="263" t="s">
        <v>1484</v>
      </c>
      <c r="C614" s="263" t="s">
        <v>869</v>
      </c>
      <c r="D614" s="263" t="s">
        <v>910</v>
      </c>
      <c r="E614" s="263" t="s">
        <v>921</v>
      </c>
      <c r="F614" s="263" t="s">
        <v>1212</v>
      </c>
    </row>
    <row r="615" spans="1:6" x14ac:dyDescent="0.25">
      <c r="A615" s="263">
        <v>37440245</v>
      </c>
      <c r="B615" s="263" t="s">
        <v>1485</v>
      </c>
      <c r="C615" s="263" t="s">
        <v>869</v>
      </c>
      <c r="D615" s="263" t="s">
        <v>910</v>
      </c>
      <c r="E615" s="263" t="s">
        <v>921</v>
      </c>
      <c r="F615" s="263" t="s">
        <v>1212</v>
      </c>
    </row>
    <row r="616" spans="1:6" x14ac:dyDescent="0.25">
      <c r="A616" s="263">
        <v>37440299</v>
      </c>
      <c r="B616" s="263" t="s">
        <v>1486</v>
      </c>
      <c r="C616" s="263" t="s">
        <v>869</v>
      </c>
      <c r="D616" s="263" t="s">
        <v>910</v>
      </c>
      <c r="E616" s="263" t="s">
        <v>921</v>
      </c>
      <c r="F616" s="263" t="s">
        <v>1212</v>
      </c>
    </row>
    <row r="617" spans="1:6" x14ac:dyDescent="0.25">
      <c r="A617" s="263">
        <v>37440329</v>
      </c>
      <c r="B617" s="263" t="s">
        <v>1487</v>
      </c>
      <c r="C617" s="263" t="s">
        <v>869</v>
      </c>
      <c r="D617" s="263" t="s">
        <v>910</v>
      </c>
      <c r="E617" s="263" t="s">
        <v>921</v>
      </c>
      <c r="F617" s="263" t="s">
        <v>939</v>
      </c>
    </row>
    <row r="618" spans="1:6" x14ac:dyDescent="0.25">
      <c r="A618" s="263">
        <v>37440399</v>
      </c>
      <c r="B618" s="263" t="s">
        <v>393</v>
      </c>
      <c r="C618" s="263" t="s">
        <v>869</v>
      </c>
      <c r="D618" s="263" t="s">
        <v>910</v>
      </c>
      <c r="E618" s="263" t="s">
        <v>921</v>
      </c>
      <c r="F618" s="263" t="s">
        <v>939</v>
      </c>
    </row>
    <row r="619" spans="1:6" x14ac:dyDescent="0.25">
      <c r="A619" s="263">
        <v>37440414</v>
      </c>
      <c r="B619" s="263" t="s">
        <v>1488</v>
      </c>
      <c r="C619" s="263" t="s">
        <v>869</v>
      </c>
      <c r="D619" s="263" t="s">
        <v>910</v>
      </c>
      <c r="E619" s="263" t="s">
        <v>921</v>
      </c>
      <c r="F619" s="263" t="s">
        <v>1066</v>
      </c>
    </row>
    <row r="620" spans="1:6" x14ac:dyDescent="0.25">
      <c r="A620" s="263">
        <v>37440415</v>
      </c>
      <c r="B620" s="263" t="s">
        <v>1489</v>
      </c>
      <c r="C620" s="263" t="s">
        <v>869</v>
      </c>
      <c r="D620" s="263" t="s">
        <v>910</v>
      </c>
      <c r="E620" s="263" t="s">
        <v>921</v>
      </c>
      <c r="F620" s="263" t="s">
        <v>1066</v>
      </c>
    </row>
    <row r="621" spans="1:6" x14ac:dyDescent="0.25">
      <c r="A621" s="263">
        <v>37440416</v>
      </c>
      <c r="B621" s="263" t="s">
        <v>1490</v>
      </c>
      <c r="C621" s="263" t="s">
        <v>869</v>
      </c>
      <c r="D621" s="263" t="s">
        <v>910</v>
      </c>
      <c r="E621" s="263" t="s">
        <v>921</v>
      </c>
      <c r="F621" s="263" t="s">
        <v>1066</v>
      </c>
    </row>
    <row r="622" spans="1:6" x14ac:dyDescent="0.25">
      <c r="A622" s="263">
        <v>37440417</v>
      </c>
      <c r="B622" s="263" t="s">
        <v>1491</v>
      </c>
      <c r="C622" s="263" t="s">
        <v>869</v>
      </c>
      <c r="D622" s="263" t="s">
        <v>910</v>
      </c>
      <c r="E622" s="263" t="s">
        <v>921</v>
      </c>
      <c r="F622" s="263" t="s">
        <v>1066</v>
      </c>
    </row>
    <row r="623" spans="1:6" x14ac:dyDescent="0.25">
      <c r="A623" s="263">
        <v>37440420</v>
      </c>
      <c r="B623" s="263" t="s">
        <v>1492</v>
      </c>
      <c r="C623" s="263" t="s">
        <v>869</v>
      </c>
      <c r="D623" s="263" t="s">
        <v>910</v>
      </c>
      <c r="E623" s="263" t="s">
        <v>921</v>
      </c>
      <c r="F623" s="263" t="s">
        <v>1066</v>
      </c>
    </row>
    <row r="624" spans="1:6" x14ac:dyDescent="0.25">
      <c r="A624" s="263">
        <v>37440426</v>
      </c>
      <c r="B624" s="263" t="s">
        <v>1493</v>
      </c>
      <c r="C624" s="263" t="s">
        <v>869</v>
      </c>
      <c r="D624" s="263" t="s">
        <v>910</v>
      </c>
      <c r="E624" s="263" t="s">
        <v>921</v>
      </c>
      <c r="F624" s="263" t="s">
        <v>1066</v>
      </c>
    </row>
    <row r="625" spans="1:7" x14ac:dyDescent="0.25">
      <c r="A625" s="263">
        <v>37440428</v>
      </c>
      <c r="B625" s="263" t="s">
        <v>1494</v>
      </c>
      <c r="C625" s="263" t="s">
        <v>869</v>
      </c>
      <c r="D625" s="263" t="s">
        <v>910</v>
      </c>
      <c r="E625" s="263" t="s">
        <v>921</v>
      </c>
      <c r="F625" s="263" t="s">
        <v>1066</v>
      </c>
    </row>
    <row r="626" spans="1:7" x14ac:dyDescent="0.25">
      <c r="A626" s="263">
        <v>37440445</v>
      </c>
      <c r="B626" s="263" t="s">
        <v>1495</v>
      </c>
      <c r="C626" s="263" t="s">
        <v>869</v>
      </c>
      <c r="D626" s="263" t="s">
        <v>910</v>
      </c>
      <c r="E626" s="263" t="s">
        <v>921</v>
      </c>
      <c r="F626" s="263" t="s">
        <v>1066</v>
      </c>
    </row>
    <row r="627" spans="1:7" x14ac:dyDescent="0.25">
      <c r="A627" s="263">
        <v>37440466</v>
      </c>
      <c r="B627" s="263" t="s">
        <v>1496</v>
      </c>
      <c r="C627" s="263" t="s">
        <v>869</v>
      </c>
      <c r="D627" s="263" t="s">
        <v>910</v>
      </c>
      <c r="E627" s="263" t="s">
        <v>921</v>
      </c>
      <c r="F627" s="263" t="s">
        <v>1066</v>
      </c>
    </row>
    <row r="628" spans="1:7" x14ac:dyDescent="0.25">
      <c r="A628" s="263">
        <v>37440499</v>
      </c>
      <c r="B628" s="263" t="s">
        <v>1497</v>
      </c>
      <c r="C628" s="263" t="s">
        <v>869</v>
      </c>
      <c r="D628" s="263" t="s">
        <v>910</v>
      </c>
      <c r="E628" s="263" t="s">
        <v>921</v>
      </c>
      <c r="F628" s="263" t="s">
        <v>1066</v>
      </c>
    </row>
    <row r="629" spans="1:7" x14ac:dyDescent="0.25">
      <c r="A629" s="263">
        <v>37450120</v>
      </c>
      <c r="B629" s="263" t="s">
        <v>1498</v>
      </c>
      <c r="C629" s="263" t="s">
        <v>869</v>
      </c>
      <c r="D629" s="263" t="s">
        <v>910</v>
      </c>
      <c r="E629" s="263" t="s">
        <v>921</v>
      </c>
      <c r="F629" s="263" t="s">
        <v>945</v>
      </c>
    </row>
    <row r="630" spans="1:7" x14ac:dyDescent="0.25">
      <c r="A630" s="263">
        <v>37450126</v>
      </c>
      <c r="B630" s="263" t="s">
        <v>1499</v>
      </c>
      <c r="C630" s="263" t="s">
        <v>869</v>
      </c>
      <c r="D630" s="263" t="s">
        <v>910</v>
      </c>
      <c r="E630" s="263" t="s">
        <v>921</v>
      </c>
      <c r="F630" s="263" t="s">
        <v>945</v>
      </c>
      <c r="G630" s="263" t="s">
        <v>872</v>
      </c>
    </row>
    <row r="631" spans="1:7" x14ac:dyDescent="0.25">
      <c r="A631" s="263">
        <v>37450145</v>
      </c>
      <c r="B631" s="263" t="s">
        <v>1500</v>
      </c>
      <c r="C631" s="263" t="s">
        <v>869</v>
      </c>
      <c r="D631" s="263" t="s">
        <v>910</v>
      </c>
      <c r="E631" s="263" t="s">
        <v>921</v>
      </c>
      <c r="F631" s="263" t="s">
        <v>945</v>
      </c>
      <c r="G631" s="263" t="s">
        <v>872</v>
      </c>
    </row>
    <row r="632" spans="1:7" x14ac:dyDescent="0.25">
      <c r="A632" s="263">
        <v>37450166</v>
      </c>
      <c r="B632" s="263" t="s">
        <v>1501</v>
      </c>
      <c r="C632" s="263" t="s">
        <v>869</v>
      </c>
      <c r="D632" s="263" t="s">
        <v>910</v>
      </c>
      <c r="E632" s="263" t="s">
        <v>921</v>
      </c>
      <c r="F632" s="263" t="s">
        <v>945</v>
      </c>
      <c r="G632" s="263" t="s">
        <v>872</v>
      </c>
    </row>
    <row r="633" spans="1:7" x14ac:dyDescent="0.25">
      <c r="A633" s="263">
        <v>37450199</v>
      </c>
      <c r="B633" s="263" t="s">
        <v>948</v>
      </c>
      <c r="C633" s="263" t="s">
        <v>869</v>
      </c>
      <c r="D633" s="263" t="s">
        <v>910</v>
      </c>
      <c r="E633" s="263" t="s">
        <v>921</v>
      </c>
      <c r="F633" s="263" t="s">
        <v>945</v>
      </c>
      <c r="G633" s="263" t="s">
        <v>872</v>
      </c>
    </row>
    <row r="634" spans="1:7" x14ac:dyDescent="0.25">
      <c r="A634" s="263">
        <v>37480120</v>
      </c>
      <c r="B634" s="263" t="s">
        <v>1502</v>
      </c>
      <c r="C634" s="263" t="s">
        <v>869</v>
      </c>
      <c r="D634" s="263" t="s">
        <v>910</v>
      </c>
      <c r="E634" s="263" t="s">
        <v>921</v>
      </c>
      <c r="F634" s="263" t="s">
        <v>1503</v>
      </c>
      <c r="G634" s="263" t="s">
        <v>872</v>
      </c>
    </row>
    <row r="635" spans="1:7" x14ac:dyDescent="0.25">
      <c r="A635" s="263">
        <v>37480145</v>
      </c>
      <c r="B635" s="263" t="s">
        <v>1504</v>
      </c>
      <c r="C635" s="263" t="s">
        <v>869</v>
      </c>
      <c r="D635" s="263" t="s">
        <v>910</v>
      </c>
      <c r="E635" s="263" t="s">
        <v>921</v>
      </c>
      <c r="F635" s="263" t="s">
        <v>1503</v>
      </c>
      <c r="G635" s="263" t="s">
        <v>872</v>
      </c>
    </row>
    <row r="636" spans="1:7" x14ac:dyDescent="0.25">
      <c r="A636" s="263">
        <v>37490199</v>
      </c>
      <c r="B636" s="263" t="s">
        <v>593</v>
      </c>
      <c r="C636" s="263" t="s">
        <v>869</v>
      </c>
      <c r="D636" s="263" t="s">
        <v>910</v>
      </c>
      <c r="E636" s="263" t="s">
        <v>795</v>
      </c>
      <c r="F636" s="263" t="s">
        <v>983</v>
      </c>
    </row>
    <row r="637" spans="1:7" x14ac:dyDescent="0.25">
      <c r="A637" s="263">
        <v>37740117</v>
      </c>
      <c r="B637" s="263" t="s">
        <v>1505</v>
      </c>
      <c r="C637" s="263" t="s">
        <v>869</v>
      </c>
      <c r="D637" s="263" t="s">
        <v>90</v>
      </c>
      <c r="E637" s="263" t="s">
        <v>921</v>
      </c>
      <c r="F637" s="263" t="s">
        <v>1506</v>
      </c>
    </row>
    <row r="638" spans="1:7" x14ac:dyDescent="0.25">
      <c r="A638" s="263">
        <v>37780199</v>
      </c>
      <c r="B638" s="263" t="s">
        <v>1507</v>
      </c>
      <c r="C638" s="263" t="s">
        <v>869</v>
      </c>
      <c r="D638" s="263" t="s">
        <v>90</v>
      </c>
      <c r="E638" s="263" t="s">
        <v>921</v>
      </c>
      <c r="F638" s="263" t="s">
        <v>1508</v>
      </c>
      <c r="G638" s="263" t="s">
        <v>872</v>
      </c>
    </row>
    <row r="639" spans="1:7" x14ac:dyDescent="0.25">
      <c r="A639" s="263">
        <v>37910145</v>
      </c>
      <c r="B639" s="263" t="s">
        <v>594</v>
      </c>
      <c r="C639" s="263" t="s">
        <v>869</v>
      </c>
      <c r="D639" s="263" t="s">
        <v>910</v>
      </c>
      <c r="E639" s="263" t="s">
        <v>921</v>
      </c>
      <c r="F639" s="263" t="s">
        <v>1087</v>
      </c>
      <c r="G639" s="263" t="s">
        <v>872</v>
      </c>
    </row>
    <row r="640" spans="1:7" x14ac:dyDescent="0.25">
      <c r="A640" s="263">
        <v>37960199</v>
      </c>
      <c r="B640" s="263" t="s">
        <v>1088</v>
      </c>
      <c r="C640" s="263" t="s">
        <v>869</v>
      </c>
      <c r="D640" s="263" t="s">
        <v>910</v>
      </c>
      <c r="E640" s="263" t="s">
        <v>921</v>
      </c>
      <c r="F640" s="263" t="s">
        <v>1087</v>
      </c>
      <c r="G640" s="263" t="s">
        <v>872</v>
      </c>
    </row>
    <row r="641" spans="1:7" x14ac:dyDescent="0.25">
      <c r="A641" s="263">
        <v>38000199</v>
      </c>
      <c r="B641" s="263" t="s">
        <v>1509</v>
      </c>
      <c r="C641" s="263" t="s">
        <v>869</v>
      </c>
      <c r="D641" s="263" t="s">
        <v>92</v>
      </c>
      <c r="E641" s="263" t="s">
        <v>1075</v>
      </c>
      <c r="F641" s="263" t="s">
        <v>1510</v>
      </c>
    </row>
    <row r="642" spans="1:7" x14ac:dyDescent="0.25">
      <c r="A642" s="263">
        <v>38100166</v>
      </c>
      <c r="B642" s="263" t="s">
        <v>1511</v>
      </c>
      <c r="C642" s="263" t="s">
        <v>869</v>
      </c>
      <c r="D642" s="263" t="s">
        <v>910</v>
      </c>
      <c r="E642" s="263" t="s">
        <v>890</v>
      </c>
      <c r="F642" s="263" t="s">
        <v>821</v>
      </c>
    </row>
    <row r="643" spans="1:7" x14ac:dyDescent="0.25">
      <c r="A643" s="263">
        <v>38110115</v>
      </c>
      <c r="B643" s="263" t="s">
        <v>1512</v>
      </c>
      <c r="C643" s="263" t="s">
        <v>869</v>
      </c>
      <c r="D643" s="263" t="s">
        <v>910</v>
      </c>
      <c r="E643" s="263" t="s">
        <v>921</v>
      </c>
      <c r="F643" s="263" t="s">
        <v>1503</v>
      </c>
      <c r="G643" s="263" t="s">
        <v>872</v>
      </c>
    </row>
    <row r="644" spans="1:7" x14ac:dyDescent="0.25">
      <c r="A644" s="263">
        <v>38110116</v>
      </c>
      <c r="B644" s="263" t="s">
        <v>1513</v>
      </c>
      <c r="C644" s="263" t="s">
        <v>869</v>
      </c>
      <c r="D644" s="263" t="s">
        <v>910</v>
      </c>
      <c r="E644" s="263" t="s">
        <v>921</v>
      </c>
      <c r="F644" s="263" t="s">
        <v>1503</v>
      </c>
      <c r="G644" s="263" t="s">
        <v>872</v>
      </c>
    </row>
    <row r="645" spans="1:7" x14ac:dyDescent="0.25">
      <c r="A645" s="263">
        <v>38110128</v>
      </c>
      <c r="B645" s="263" t="s">
        <v>1514</v>
      </c>
      <c r="C645" s="263" t="s">
        <v>869</v>
      </c>
      <c r="D645" s="263" t="s">
        <v>910</v>
      </c>
      <c r="E645" s="263" t="s">
        <v>921</v>
      </c>
      <c r="F645" s="263" t="s">
        <v>1503</v>
      </c>
      <c r="G645" s="263" t="s">
        <v>872</v>
      </c>
    </row>
    <row r="646" spans="1:7" x14ac:dyDescent="0.25">
      <c r="A646" s="263">
        <v>38110166</v>
      </c>
      <c r="B646" s="263" t="s">
        <v>1515</v>
      </c>
      <c r="C646" s="263" t="s">
        <v>869</v>
      </c>
      <c r="D646" s="263" t="s">
        <v>910</v>
      </c>
      <c r="E646" s="263" t="s">
        <v>921</v>
      </c>
      <c r="F646" s="263" t="s">
        <v>1503</v>
      </c>
      <c r="G646" s="263" t="s">
        <v>872</v>
      </c>
    </row>
    <row r="647" spans="1:7" x14ac:dyDescent="0.25">
      <c r="A647" s="263">
        <v>38110199</v>
      </c>
      <c r="B647" s="263" t="s">
        <v>1516</v>
      </c>
      <c r="C647" s="263" t="s">
        <v>869</v>
      </c>
      <c r="D647" s="263" t="s">
        <v>910</v>
      </c>
      <c r="E647" s="263" t="s">
        <v>921</v>
      </c>
      <c r="F647" s="263" t="s">
        <v>1503</v>
      </c>
      <c r="G647" s="263" t="s">
        <v>872</v>
      </c>
    </row>
    <row r="648" spans="1:7" x14ac:dyDescent="0.25">
      <c r="A648" s="263">
        <v>38130199</v>
      </c>
      <c r="B648" s="263" t="s">
        <v>1091</v>
      </c>
      <c r="C648" s="263" t="s">
        <v>869</v>
      </c>
      <c r="D648" s="263" t="s">
        <v>910</v>
      </c>
      <c r="E648" s="263" t="s">
        <v>921</v>
      </c>
      <c r="F648" s="263" t="s">
        <v>1503</v>
      </c>
      <c r="G648" s="263" t="s">
        <v>872</v>
      </c>
    </row>
    <row r="649" spans="1:7" x14ac:dyDescent="0.25">
      <c r="A649" s="263">
        <v>38140116</v>
      </c>
      <c r="B649" s="263" t="s">
        <v>1517</v>
      </c>
      <c r="C649" s="263" t="s">
        <v>869</v>
      </c>
      <c r="D649" s="263" t="s">
        <v>910</v>
      </c>
      <c r="E649" s="263" t="s">
        <v>921</v>
      </c>
      <c r="F649" s="263" t="s">
        <v>1518</v>
      </c>
      <c r="G649" s="263" t="s">
        <v>872</v>
      </c>
    </row>
    <row r="650" spans="1:7" x14ac:dyDescent="0.25">
      <c r="A650" s="263">
        <v>38140166</v>
      </c>
      <c r="B650" s="263" t="s">
        <v>1519</v>
      </c>
      <c r="C650" s="263" t="s">
        <v>869</v>
      </c>
      <c r="D650" s="263" t="s">
        <v>910</v>
      </c>
      <c r="E650" s="263" t="s">
        <v>921</v>
      </c>
      <c r="F650" s="263" t="s">
        <v>1518</v>
      </c>
      <c r="G650" s="263" t="s">
        <v>872</v>
      </c>
    </row>
    <row r="651" spans="1:7" x14ac:dyDescent="0.25">
      <c r="A651" s="263">
        <v>38140199</v>
      </c>
      <c r="B651" s="263" t="s">
        <v>595</v>
      </c>
      <c r="C651" s="263" t="s">
        <v>869</v>
      </c>
      <c r="D651" s="263" t="s">
        <v>910</v>
      </c>
      <c r="E651" s="263" t="s">
        <v>921</v>
      </c>
      <c r="F651" s="263" t="s">
        <v>1518</v>
      </c>
      <c r="G651" s="263" t="s">
        <v>872</v>
      </c>
    </row>
    <row r="652" spans="1:7" x14ac:dyDescent="0.25">
      <c r="A652" s="263">
        <v>38150199</v>
      </c>
      <c r="B652" s="263" t="s">
        <v>1092</v>
      </c>
      <c r="C652" s="263" t="s">
        <v>869</v>
      </c>
      <c r="D652" s="263" t="s">
        <v>910</v>
      </c>
      <c r="E652" s="263" t="s">
        <v>921</v>
      </c>
      <c r="F652" s="263" t="s">
        <v>1503</v>
      </c>
      <c r="G652" s="263" t="s">
        <v>872</v>
      </c>
    </row>
    <row r="653" spans="1:7" x14ac:dyDescent="0.25">
      <c r="A653" s="263">
        <v>38170199</v>
      </c>
      <c r="B653" s="263" t="s">
        <v>1520</v>
      </c>
      <c r="C653" s="263" t="s">
        <v>869</v>
      </c>
      <c r="D653" s="263" t="s">
        <v>910</v>
      </c>
      <c r="E653" s="263" t="s">
        <v>921</v>
      </c>
      <c r="F653" s="263" t="s">
        <v>1503</v>
      </c>
      <c r="G653" s="263" t="s">
        <v>872</v>
      </c>
    </row>
    <row r="654" spans="1:7" x14ac:dyDescent="0.25">
      <c r="A654" s="263">
        <v>38180199</v>
      </c>
      <c r="B654" s="263" t="s">
        <v>1521</v>
      </c>
      <c r="C654" s="263" t="s">
        <v>869</v>
      </c>
      <c r="D654" s="263" t="s">
        <v>910</v>
      </c>
      <c r="E654" s="263" t="s">
        <v>921</v>
      </c>
      <c r="F654" s="263" t="s">
        <v>1522</v>
      </c>
      <c r="G654" s="263" t="s">
        <v>872</v>
      </c>
    </row>
    <row r="655" spans="1:7" x14ac:dyDescent="0.25">
      <c r="A655" s="288">
        <v>38220111</v>
      </c>
      <c r="B655" s="288" t="s">
        <v>1523</v>
      </c>
      <c r="C655" s="263" t="s">
        <v>869</v>
      </c>
      <c r="D655" s="263" t="s">
        <v>910</v>
      </c>
      <c r="E655" s="263" t="s">
        <v>921</v>
      </c>
      <c r="F655" s="263" t="s">
        <v>956</v>
      </c>
    </row>
    <row r="656" spans="1:7" x14ac:dyDescent="0.25">
      <c r="A656" s="288">
        <v>38220114</v>
      </c>
      <c r="B656" s="288" t="s">
        <v>1524</v>
      </c>
      <c r="C656" s="263" t="s">
        <v>869</v>
      </c>
      <c r="D656" s="263" t="s">
        <v>910</v>
      </c>
      <c r="E656" s="263" t="s">
        <v>921</v>
      </c>
      <c r="F656" s="263" t="s">
        <v>956</v>
      </c>
    </row>
    <row r="657" spans="1:7" x14ac:dyDescent="0.25">
      <c r="A657" s="288">
        <v>38220115</v>
      </c>
      <c r="B657" s="288" t="s">
        <v>1525</v>
      </c>
      <c r="C657" s="263" t="s">
        <v>869</v>
      </c>
      <c r="D657" s="263" t="s">
        <v>910</v>
      </c>
      <c r="E657" s="263" t="s">
        <v>921</v>
      </c>
      <c r="F657" s="263" t="s">
        <v>956</v>
      </c>
    </row>
    <row r="658" spans="1:7" x14ac:dyDescent="0.25">
      <c r="A658" s="263">
        <v>38220116</v>
      </c>
      <c r="B658" s="263" t="s">
        <v>1526</v>
      </c>
      <c r="C658" s="263" t="s">
        <v>869</v>
      </c>
      <c r="D658" s="263" t="s">
        <v>910</v>
      </c>
      <c r="E658" s="263" t="s">
        <v>921</v>
      </c>
      <c r="F658" s="263" t="s">
        <v>956</v>
      </c>
    </row>
    <row r="659" spans="1:7" x14ac:dyDescent="0.25">
      <c r="A659" s="263">
        <v>38220117</v>
      </c>
      <c r="B659" s="263" t="s">
        <v>1527</v>
      </c>
      <c r="C659" s="263" t="s">
        <v>869</v>
      </c>
      <c r="D659" s="263" t="s">
        <v>910</v>
      </c>
      <c r="E659" s="263" t="s">
        <v>921</v>
      </c>
      <c r="F659" s="263" t="s">
        <v>956</v>
      </c>
    </row>
    <row r="660" spans="1:7" x14ac:dyDescent="0.25">
      <c r="A660" s="263">
        <v>38220120</v>
      </c>
      <c r="B660" s="263" t="s">
        <v>1528</v>
      </c>
      <c r="C660" s="263" t="s">
        <v>869</v>
      </c>
      <c r="D660" s="263" t="s">
        <v>910</v>
      </c>
      <c r="E660" s="263" t="s">
        <v>921</v>
      </c>
      <c r="F660" s="263" t="s">
        <v>956</v>
      </c>
    </row>
    <row r="661" spans="1:7" x14ac:dyDescent="0.25">
      <c r="A661" s="288">
        <v>38220123</v>
      </c>
      <c r="B661" s="288" t="s">
        <v>1529</v>
      </c>
      <c r="C661" s="263" t="s">
        <v>869</v>
      </c>
      <c r="D661" s="263" t="s">
        <v>910</v>
      </c>
      <c r="E661" s="263" t="s">
        <v>921</v>
      </c>
      <c r="F661" s="263" t="s">
        <v>956</v>
      </c>
    </row>
    <row r="662" spans="1:7" x14ac:dyDescent="0.25">
      <c r="A662" s="288">
        <v>38220124</v>
      </c>
      <c r="B662" s="288" t="s">
        <v>1530</v>
      </c>
      <c r="C662" s="263" t="s">
        <v>869</v>
      </c>
      <c r="D662" s="263" t="s">
        <v>910</v>
      </c>
      <c r="E662" s="263" t="s">
        <v>921</v>
      </c>
      <c r="F662" s="263" t="s">
        <v>956</v>
      </c>
    </row>
    <row r="663" spans="1:7" x14ac:dyDescent="0.25">
      <c r="A663" s="288">
        <v>38220125</v>
      </c>
      <c r="B663" s="288" t="s">
        <v>1531</v>
      </c>
      <c r="C663" s="263" t="s">
        <v>869</v>
      </c>
      <c r="D663" s="263" t="s">
        <v>910</v>
      </c>
      <c r="E663" s="263" t="s">
        <v>921</v>
      </c>
      <c r="F663" s="263" t="s">
        <v>956</v>
      </c>
    </row>
    <row r="664" spans="1:7" x14ac:dyDescent="0.25">
      <c r="A664" s="263">
        <v>38220126</v>
      </c>
      <c r="B664" s="263" t="s">
        <v>1532</v>
      </c>
      <c r="C664" s="263" t="s">
        <v>869</v>
      </c>
      <c r="D664" s="263" t="s">
        <v>910</v>
      </c>
      <c r="E664" s="263" t="s">
        <v>921</v>
      </c>
      <c r="F664" s="263" t="s">
        <v>956</v>
      </c>
    </row>
    <row r="665" spans="1:7" x14ac:dyDescent="0.25">
      <c r="A665" s="263">
        <v>38220127</v>
      </c>
      <c r="B665" s="263" t="s">
        <v>1533</v>
      </c>
      <c r="C665" s="263" t="s">
        <v>869</v>
      </c>
      <c r="D665" s="263" t="s">
        <v>910</v>
      </c>
      <c r="E665" s="263" t="s">
        <v>921</v>
      </c>
      <c r="F665" s="263" t="s">
        <v>956</v>
      </c>
      <c r="G665" s="263" t="s">
        <v>872</v>
      </c>
    </row>
    <row r="666" spans="1:7" x14ac:dyDescent="0.25">
      <c r="A666" s="263">
        <v>38220128</v>
      </c>
      <c r="B666" s="263" t="s">
        <v>1534</v>
      </c>
      <c r="C666" s="263" t="s">
        <v>869</v>
      </c>
      <c r="D666" s="263" t="s">
        <v>910</v>
      </c>
      <c r="E666" s="263" t="s">
        <v>921</v>
      </c>
      <c r="F666" s="263" t="s">
        <v>956</v>
      </c>
    </row>
    <row r="667" spans="1:7" x14ac:dyDescent="0.25">
      <c r="A667" s="263">
        <v>38220136</v>
      </c>
      <c r="B667" s="263" t="s">
        <v>1535</v>
      </c>
      <c r="C667" s="263" t="s">
        <v>869</v>
      </c>
      <c r="D667" s="263" t="s">
        <v>910</v>
      </c>
      <c r="E667" s="263" t="s">
        <v>921</v>
      </c>
      <c r="F667" s="263" t="s">
        <v>956</v>
      </c>
    </row>
    <row r="668" spans="1:7" x14ac:dyDescent="0.25">
      <c r="A668" s="288">
        <v>38220138</v>
      </c>
      <c r="B668" s="288" t="s">
        <v>1536</v>
      </c>
      <c r="C668" s="263" t="s">
        <v>869</v>
      </c>
      <c r="D668" s="263" t="s">
        <v>910</v>
      </c>
      <c r="E668" s="263" t="s">
        <v>921</v>
      </c>
      <c r="F668" s="263" t="s">
        <v>956</v>
      </c>
    </row>
    <row r="669" spans="1:7" x14ac:dyDescent="0.25">
      <c r="A669" s="288">
        <v>38220145</v>
      </c>
      <c r="B669" s="288" t="s">
        <v>1537</v>
      </c>
      <c r="C669" s="263" t="s">
        <v>869</v>
      </c>
      <c r="D669" s="263" t="s">
        <v>910</v>
      </c>
      <c r="E669" s="263" t="s">
        <v>921</v>
      </c>
      <c r="F669" s="263" t="s">
        <v>956</v>
      </c>
    </row>
    <row r="670" spans="1:7" x14ac:dyDescent="0.25">
      <c r="A670" s="263">
        <v>38220166</v>
      </c>
      <c r="B670" s="263" t="s">
        <v>1538</v>
      </c>
      <c r="C670" s="263" t="s">
        <v>869</v>
      </c>
      <c r="D670" s="263" t="s">
        <v>910</v>
      </c>
      <c r="E670" s="263" t="s">
        <v>921</v>
      </c>
      <c r="F670" s="263" t="s">
        <v>956</v>
      </c>
    </row>
    <row r="671" spans="1:7" x14ac:dyDescent="0.25">
      <c r="A671" s="263">
        <v>38220171</v>
      </c>
      <c r="B671" s="263" t="s">
        <v>1539</v>
      </c>
      <c r="C671" s="263" t="s">
        <v>869</v>
      </c>
      <c r="D671" s="263" t="s">
        <v>910</v>
      </c>
      <c r="E671" s="263" t="s">
        <v>921</v>
      </c>
      <c r="F671" s="263" t="s">
        <v>956</v>
      </c>
      <c r="G671" s="263" t="s">
        <v>872</v>
      </c>
    </row>
    <row r="672" spans="1:7" x14ac:dyDescent="0.25">
      <c r="A672" s="263">
        <v>38220199</v>
      </c>
      <c r="B672" s="263" t="s">
        <v>1540</v>
      </c>
      <c r="C672" s="263" t="s">
        <v>869</v>
      </c>
      <c r="D672" s="263" t="s">
        <v>910</v>
      </c>
      <c r="E672" s="263" t="s">
        <v>921</v>
      </c>
      <c r="F672" s="263" t="s">
        <v>956</v>
      </c>
      <c r="G672" s="263" t="s">
        <v>872</v>
      </c>
    </row>
    <row r="673" spans="1:7" x14ac:dyDescent="0.25">
      <c r="A673" s="263">
        <v>38420199</v>
      </c>
      <c r="B673" s="263" t="s">
        <v>1541</v>
      </c>
      <c r="C673" s="263" t="s">
        <v>869</v>
      </c>
      <c r="D673" s="263" t="s">
        <v>910</v>
      </c>
      <c r="E673" s="263" t="s">
        <v>795</v>
      </c>
      <c r="F673" s="263" t="s">
        <v>983</v>
      </c>
    </row>
    <row r="674" spans="1:7" x14ac:dyDescent="0.25">
      <c r="A674" s="263">
        <v>38460120</v>
      </c>
      <c r="B674" s="263" t="s">
        <v>1542</v>
      </c>
      <c r="C674" s="263" t="s">
        <v>869</v>
      </c>
      <c r="D674" s="263" t="s">
        <v>910</v>
      </c>
      <c r="E674" s="263" t="s">
        <v>921</v>
      </c>
      <c r="F674" s="263" t="s">
        <v>1543</v>
      </c>
      <c r="G674" s="263" t="s">
        <v>872</v>
      </c>
    </row>
    <row r="675" spans="1:7" x14ac:dyDescent="0.25">
      <c r="A675" s="263">
        <v>38470120</v>
      </c>
      <c r="B675" s="263" t="s">
        <v>1544</v>
      </c>
      <c r="C675" s="263" t="s">
        <v>869</v>
      </c>
      <c r="D675" s="263" t="s">
        <v>910</v>
      </c>
      <c r="E675" s="263" t="s">
        <v>921</v>
      </c>
      <c r="F675" s="263" t="s">
        <v>1545</v>
      </c>
      <c r="G675" s="263" t="s">
        <v>872</v>
      </c>
    </row>
    <row r="676" spans="1:7" x14ac:dyDescent="0.25">
      <c r="A676" s="263">
        <v>38470126</v>
      </c>
      <c r="B676" s="263" t="s">
        <v>1546</v>
      </c>
      <c r="C676" s="263" t="s">
        <v>869</v>
      </c>
      <c r="D676" s="263" t="s">
        <v>910</v>
      </c>
      <c r="E676" s="263" t="s">
        <v>921</v>
      </c>
      <c r="F676" s="263" t="s">
        <v>1545</v>
      </c>
    </row>
    <row r="677" spans="1:7" x14ac:dyDescent="0.25">
      <c r="A677" s="263">
        <v>38470130</v>
      </c>
      <c r="B677" s="263" t="s">
        <v>1547</v>
      </c>
      <c r="C677" s="263" t="s">
        <v>869</v>
      </c>
      <c r="D677" s="263" t="s">
        <v>910</v>
      </c>
      <c r="E677" s="263" t="s">
        <v>921</v>
      </c>
      <c r="F677" s="263" t="s">
        <v>1545</v>
      </c>
      <c r="G677" s="263" t="s">
        <v>872</v>
      </c>
    </row>
    <row r="678" spans="1:7" x14ac:dyDescent="0.25">
      <c r="A678" s="263">
        <v>38470131</v>
      </c>
      <c r="B678" s="263" t="s">
        <v>1548</v>
      </c>
      <c r="C678" s="263" t="s">
        <v>869</v>
      </c>
      <c r="D678" s="263" t="s">
        <v>910</v>
      </c>
      <c r="E678" s="263" t="s">
        <v>921</v>
      </c>
      <c r="F678" s="263" t="s">
        <v>1545</v>
      </c>
      <c r="G678" s="263" t="s">
        <v>872</v>
      </c>
    </row>
    <row r="679" spans="1:7" x14ac:dyDescent="0.25">
      <c r="A679" s="263">
        <v>38470136</v>
      </c>
      <c r="B679" s="263" t="s">
        <v>1549</v>
      </c>
      <c r="C679" s="263" t="s">
        <v>869</v>
      </c>
      <c r="D679" s="263" t="s">
        <v>910</v>
      </c>
      <c r="E679" s="263" t="s">
        <v>921</v>
      </c>
      <c r="F679" s="263" t="s">
        <v>1545</v>
      </c>
      <c r="G679" s="263" t="s">
        <v>872</v>
      </c>
    </row>
    <row r="680" spans="1:7" x14ac:dyDescent="0.25">
      <c r="A680" s="263">
        <v>38470137</v>
      </c>
      <c r="B680" s="263" t="s">
        <v>1550</v>
      </c>
      <c r="C680" s="263" t="s">
        <v>869</v>
      </c>
      <c r="D680" s="263" t="s">
        <v>910</v>
      </c>
      <c r="E680" s="263" t="s">
        <v>921</v>
      </c>
      <c r="F680" s="263" t="s">
        <v>1545</v>
      </c>
    </row>
    <row r="681" spans="1:7" x14ac:dyDescent="0.25">
      <c r="A681" s="263">
        <v>38470138</v>
      </c>
      <c r="B681" s="263" t="s">
        <v>1551</v>
      </c>
      <c r="C681" s="263" t="s">
        <v>869</v>
      </c>
      <c r="D681" s="263" t="s">
        <v>910</v>
      </c>
      <c r="E681" s="263" t="s">
        <v>921</v>
      </c>
      <c r="F681" s="263" t="s">
        <v>1545</v>
      </c>
      <c r="G681" s="263" t="s">
        <v>872</v>
      </c>
    </row>
    <row r="682" spans="1:7" x14ac:dyDescent="0.25">
      <c r="A682" s="263">
        <v>38470140</v>
      </c>
      <c r="B682" s="263" t="s">
        <v>1552</v>
      </c>
      <c r="C682" s="263" t="s">
        <v>869</v>
      </c>
      <c r="D682" s="263" t="s">
        <v>910</v>
      </c>
      <c r="E682" s="263" t="s">
        <v>921</v>
      </c>
      <c r="F682" s="263" t="s">
        <v>1545</v>
      </c>
    </row>
    <row r="683" spans="1:7" x14ac:dyDescent="0.25">
      <c r="A683" s="263">
        <v>38470141</v>
      </c>
      <c r="B683" s="263" t="s">
        <v>1553</v>
      </c>
      <c r="C683" s="263" t="s">
        <v>869</v>
      </c>
      <c r="D683" s="263" t="s">
        <v>910</v>
      </c>
      <c r="E683" s="263" t="s">
        <v>921</v>
      </c>
      <c r="F683" s="263" t="s">
        <v>1545</v>
      </c>
      <c r="G683" s="263" t="s">
        <v>872</v>
      </c>
    </row>
    <row r="684" spans="1:7" x14ac:dyDescent="0.25">
      <c r="A684" s="263">
        <v>38470143</v>
      </c>
      <c r="B684" s="263" t="s">
        <v>1554</v>
      </c>
      <c r="C684" s="263" t="s">
        <v>869</v>
      </c>
      <c r="D684" s="263" t="s">
        <v>910</v>
      </c>
      <c r="E684" s="263" t="s">
        <v>921</v>
      </c>
      <c r="F684" s="263" t="s">
        <v>1545</v>
      </c>
      <c r="G684" s="263" t="s">
        <v>872</v>
      </c>
    </row>
    <row r="685" spans="1:7" x14ac:dyDescent="0.25">
      <c r="A685" s="263">
        <v>38470145</v>
      </c>
      <c r="B685" s="263" t="s">
        <v>1555</v>
      </c>
      <c r="C685" s="263" t="s">
        <v>869</v>
      </c>
      <c r="D685" s="263" t="s">
        <v>910</v>
      </c>
      <c r="E685" s="263" t="s">
        <v>921</v>
      </c>
      <c r="F685" s="263" t="s">
        <v>1545</v>
      </c>
      <c r="G685" s="263" t="s">
        <v>872</v>
      </c>
    </row>
    <row r="686" spans="1:7" x14ac:dyDescent="0.25">
      <c r="A686" s="263">
        <v>38470154</v>
      </c>
      <c r="B686" s="263" t="s">
        <v>1556</v>
      </c>
      <c r="C686" s="263" t="s">
        <v>869</v>
      </c>
      <c r="D686" s="263" t="s">
        <v>910</v>
      </c>
      <c r="E686" s="263" t="s">
        <v>921</v>
      </c>
      <c r="F686" s="263" t="s">
        <v>1545</v>
      </c>
    </row>
    <row r="687" spans="1:7" x14ac:dyDescent="0.25">
      <c r="A687" s="263">
        <v>38470166</v>
      </c>
      <c r="B687" s="263" t="s">
        <v>1557</v>
      </c>
      <c r="C687" s="263" t="s">
        <v>869</v>
      </c>
      <c r="D687" s="263" t="s">
        <v>910</v>
      </c>
      <c r="E687" s="263" t="s">
        <v>921</v>
      </c>
      <c r="F687" s="263" t="s">
        <v>1545</v>
      </c>
      <c r="G687" s="263" t="s">
        <v>872</v>
      </c>
    </row>
    <row r="688" spans="1:7" x14ac:dyDescent="0.25">
      <c r="A688" s="263">
        <v>38470199</v>
      </c>
      <c r="B688" s="263" t="s">
        <v>1558</v>
      </c>
      <c r="C688" s="263" t="s">
        <v>869</v>
      </c>
      <c r="D688" s="263" t="s">
        <v>910</v>
      </c>
      <c r="E688" s="263" t="s">
        <v>921</v>
      </c>
      <c r="F688" s="263" t="s">
        <v>1545</v>
      </c>
    </row>
    <row r="689" spans="1:6" x14ac:dyDescent="0.25">
      <c r="A689" s="263">
        <v>38490145</v>
      </c>
      <c r="B689" s="263" t="s">
        <v>1559</v>
      </c>
      <c r="C689" s="263" t="s">
        <v>869</v>
      </c>
      <c r="D689" s="263" t="s">
        <v>910</v>
      </c>
      <c r="E689" s="263" t="s">
        <v>921</v>
      </c>
      <c r="F689" s="263" t="s">
        <v>1503</v>
      </c>
    </row>
    <row r="690" spans="1:6" x14ac:dyDescent="0.25">
      <c r="A690" s="263">
        <v>38490220</v>
      </c>
      <c r="B690" s="263" t="s">
        <v>1560</v>
      </c>
      <c r="C690" s="263" t="s">
        <v>869</v>
      </c>
      <c r="D690" s="263" t="s">
        <v>910</v>
      </c>
      <c r="E690" s="263" t="s">
        <v>921</v>
      </c>
      <c r="F690" s="263" t="s">
        <v>1561</v>
      </c>
    </row>
    <row r="691" spans="1:6" x14ac:dyDescent="0.25">
      <c r="A691" s="263">
        <v>38490235</v>
      </c>
      <c r="B691" s="263" t="s">
        <v>1562</v>
      </c>
      <c r="C691" s="263" t="s">
        <v>869</v>
      </c>
      <c r="D691" s="263" t="s">
        <v>910</v>
      </c>
      <c r="E691" s="263" t="s">
        <v>921</v>
      </c>
      <c r="F691" s="263" t="s">
        <v>1561</v>
      </c>
    </row>
    <row r="692" spans="1:6" x14ac:dyDescent="0.25">
      <c r="A692" s="263">
        <v>38490299</v>
      </c>
      <c r="B692" s="263" t="s">
        <v>1563</v>
      </c>
      <c r="C692" s="263" t="s">
        <v>869</v>
      </c>
      <c r="D692" s="263" t="s">
        <v>910</v>
      </c>
      <c r="E692" s="263" t="s">
        <v>921</v>
      </c>
      <c r="F692" s="263" t="s">
        <v>1563</v>
      </c>
    </row>
    <row r="693" spans="1:6" x14ac:dyDescent="0.25">
      <c r="A693" s="263">
        <v>38490399</v>
      </c>
      <c r="B693" s="263" t="s">
        <v>1564</v>
      </c>
      <c r="C693" s="263" t="s">
        <v>869</v>
      </c>
      <c r="D693" s="263" t="s">
        <v>910</v>
      </c>
      <c r="E693" s="263" t="s">
        <v>921</v>
      </c>
      <c r="F693" s="263" t="s">
        <v>1561</v>
      </c>
    </row>
    <row r="694" spans="1:6" x14ac:dyDescent="0.25">
      <c r="A694" s="263">
        <v>38490499</v>
      </c>
      <c r="B694" s="263" t="s">
        <v>1565</v>
      </c>
      <c r="C694" s="263" t="s">
        <v>869</v>
      </c>
      <c r="D694" s="263" t="s">
        <v>910</v>
      </c>
      <c r="E694" s="263" t="s">
        <v>921</v>
      </c>
      <c r="F694" s="263" t="s">
        <v>1566</v>
      </c>
    </row>
    <row r="695" spans="1:6" x14ac:dyDescent="0.25">
      <c r="A695" s="263">
        <v>38610128</v>
      </c>
      <c r="B695" s="263" t="s">
        <v>1567</v>
      </c>
      <c r="C695" s="263" t="s">
        <v>869</v>
      </c>
      <c r="D695" s="263" t="s">
        <v>910</v>
      </c>
      <c r="E695" s="263" t="s">
        <v>921</v>
      </c>
      <c r="F695" s="263" t="s">
        <v>1568</v>
      </c>
    </row>
    <row r="696" spans="1:6" x14ac:dyDescent="0.25">
      <c r="A696" s="263">
        <v>38620120</v>
      </c>
      <c r="B696" s="263" t="s">
        <v>1569</v>
      </c>
      <c r="C696" s="263" t="s">
        <v>869</v>
      </c>
      <c r="D696" s="263" t="s">
        <v>910</v>
      </c>
      <c r="E696" s="263" t="s">
        <v>921</v>
      </c>
      <c r="F696" s="263" t="s">
        <v>1570</v>
      </c>
    </row>
    <row r="697" spans="1:6" x14ac:dyDescent="0.25">
      <c r="A697" s="263">
        <v>38640145</v>
      </c>
      <c r="B697" s="263" t="s">
        <v>1571</v>
      </c>
      <c r="C697" s="263" t="s">
        <v>869</v>
      </c>
      <c r="D697" s="263" t="s">
        <v>910</v>
      </c>
      <c r="E697" s="263" t="s">
        <v>921</v>
      </c>
      <c r="F697" s="263" t="s">
        <v>282</v>
      </c>
    </row>
    <row r="698" spans="1:6" x14ac:dyDescent="0.25">
      <c r="A698" s="263">
        <v>38640166</v>
      </c>
      <c r="B698" s="263" t="s">
        <v>1572</v>
      </c>
      <c r="C698" s="263" t="s">
        <v>869</v>
      </c>
      <c r="D698" s="263" t="s">
        <v>910</v>
      </c>
      <c r="E698" s="263" t="s">
        <v>921</v>
      </c>
      <c r="F698" s="263" t="s">
        <v>1573</v>
      </c>
    </row>
    <row r="699" spans="1:6" x14ac:dyDescent="0.25">
      <c r="A699" s="263">
        <v>38640199</v>
      </c>
      <c r="B699" s="263" t="s">
        <v>1574</v>
      </c>
      <c r="C699" s="263" t="s">
        <v>869</v>
      </c>
      <c r="D699" s="263" t="s">
        <v>910</v>
      </c>
      <c r="E699" s="263" t="s">
        <v>921</v>
      </c>
      <c r="F699" s="263" t="s">
        <v>282</v>
      </c>
    </row>
    <row r="700" spans="1:6" x14ac:dyDescent="0.25">
      <c r="A700" s="263">
        <v>38670129</v>
      </c>
      <c r="B700" s="263" t="s">
        <v>1575</v>
      </c>
      <c r="C700" s="263" t="s">
        <v>869</v>
      </c>
      <c r="D700" s="263" t="s">
        <v>910</v>
      </c>
      <c r="E700" s="263" t="s">
        <v>921</v>
      </c>
      <c r="F700" s="263" t="s">
        <v>1576</v>
      </c>
    </row>
    <row r="701" spans="1:6" x14ac:dyDescent="0.25">
      <c r="A701" s="263">
        <v>38690199</v>
      </c>
      <c r="B701" s="263" t="s">
        <v>1577</v>
      </c>
      <c r="C701" s="263" t="s">
        <v>869</v>
      </c>
      <c r="D701" s="263" t="s">
        <v>910</v>
      </c>
      <c r="E701" s="263" t="s">
        <v>1104</v>
      </c>
      <c r="F701" s="263" t="s">
        <v>1578</v>
      </c>
    </row>
    <row r="702" spans="1:6" x14ac:dyDescent="0.25">
      <c r="A702" s="263">
        <v>38900199</v>
      </c>
      <c r="B702" s="263" t="s">
        <v>1579</v>
      </c>
      <c r="C702" s="263" t="s">
        <v>869</v>
      </c>
      <c r="D702" s="263" t="s">
        <v>910</v>
      </c>
      <c r="E702" s="263" t="s">
        <v>782</v>
      </c>
      <c r="F702" s="263" t="s">
        <v>783</v>
      </c>
    </row>
    <row r="703" spans="1:6" x14ac:dyDescent="0.25">
      <c r="A703" s="263">
        <v>38900299</v>
      </c>
      <c r="B703" s="263" t="s">
        <v>1580</v>
      </c>
      <c r="C703" s="263" t="s">
        <v>869</v>
      </c>
      <c r="D703" s="263" t="s">
        <v>910</v>
      </c>
      <c r="E703" s="263" t="s">
        <v>782</v>
      </c>
      <c r="F703" s="263" t="s">
        <v>784</v>
      </c>
    </row>
    <row r="704" spans="1:6" x14ac:dyDescent="0.25">
      <c r="A704" s="263">
        <v>39100120</v>
      </c>
      <c r="B704" s="263" t="s">
        <v>1581</v>
      </c>
      <c r="C704" s="263" t="s">
        <v>869</v>
      </c>
      <c r="D704" s="263" t="s">
        <v>910</v>
      </c>
      <c r="E704" s="263" t="s">
        <v>921</v>
      </c>
      <c r="F704" s="263" t="s">
        <v>282</v>
      </c>
    </row>
    <row r="705" spans="1:7" x14ac:dyDescent="0.25">
      <c r="A705" s="263">
        <v>39100199</v>
      </c>
      <c r="B705" s="263" t="s">
        <v>1108</v>
      </c>
      <c r="C705" s="263" t="s">
        <v>869</v>
      </c>
      <c r="D705" s="263" t="s">
        <v>910</v>
      </c>
      <c r="E705" s="263" t="s">
        <v>921</v>
      </c>
      <c r="F705" s="263" t="s">
        <v>290</v>
      </c>
    </row>
    <row r="706" spans="1:7" x14ac:dyDescent="0.25">
      <c r="A706" s="288">
        <v>39100220</v>
      </c>
      <c r="B706" s="288" t="s">
        <v>1582</v>
      </c>
      <c r="C706" s="263" t="s">
        <v>869</v>
      </c>
      <c r="D706" s="263" t="s">
        <v>910</v>
      </c>
      <c r="E706" s="263" t="s">
        <v>921</v>
      </c>
      <c r="F706" s="263" t="s">
        <v>282</v>
      </c>
    </row>
    <row r="707" spans="1:7" x14ac:dyDescent="0.25">
      <c r="A707" s="288">
        <v>39100227</v>
      </c>
      <c r="B707" s="288" t="s">
        <v>1583</v>
      </c>
      <c r="C707" s="263" t="s">
        <v>869</v>
      </c>
      <c r="D707" s="263" t="s">
        <v>910</v>
      </c>
      <c r="E707" s="263" t="s">
        <v>921</v>
      </c>
      <c r="F707" s="263" t="s">
        <v>282</v>
      </c>
    </row>
    <row r="708" spans="1:7" x14ac:dyDescent="0.25">
      <c r="A708" s="263">
        <v>39100299</v>
      </c>
      <c r="B708" s="263" t="s">
        <v>1584</v>
      </c>
      <c r="C708" s="263" t="s">
        <v>869</v>
      </c>
      <c r="D708" s="263" t="s">
        <v>910</v>
      </c>
      <c r="E708" s="263" t="s">
        <v>921</v>
      </c>
      <c r="F708" s="263" t="s">
        <v>282</v>
      </c>
    </row>
    <row r="709" spans="1:7" x14ac:dyDescent="0.25">
      <c r="A709" s="288">
        <v>39100326</v>
      </c>
      <c r="B709" s="288" t="s">
        <v>1585</v>
      </c>
      <c r="C709" s="263" t="s">
        <v>869</v>
      </c>
      <c r="D709" s="263" t="s">
        <v>910</v>
      </c>
      <c r="E709" s="263" t="s">
        <v>1104</v>
      </c>
      <c r="F709" s="263" t="s">
        <v>292</v>
      </c>
    </row>
    <row r="710" spans="1:7" x14ac:dyDescent="0.25">
      <c r="A710" s="263">
        <v>39100329</v>
      </c>
      <c r="B710" s="263" t="s">
        <v>1586</v>
      </c>
      <c r="C710" s="263" t="s">
        <v>869</v>
      </c>
      <c r="D710" s="263" t="s">
        <v>910</v>
      </c>
      <c r="E710" s="263" t="s">
        <v>921</v>
      </c>
      <c r="F710" s="263" t="s">
        <v>282</v>
      </c>
    </row>
    <row r="711" spans="1:7" x14ac:dyDescent="0.25">
      <c r="A711" s="263">
        <v>39100330</v>
      </c>
      <c r="B711" s="263" t="s">
        <v>1587</v>
      </c>
      <c r="C711" s="263" t="s">
        <v>869</v>
      </c>
      <c r="D711" s="263" t="s">
        <v>910</v>
      </c>
      <c r="E711" s="263" t="s">
        <v>921</v>
      </c>
      <c r="F711" s="263" t="s">
        <v>282</v>
      </c>
    </row>
    <row r="712" spans="1:7" x14ac:dyDescent="0.25">
      <c r="A712" s="263">
        <v>39100337</v>
      </c>
      <c r="B712" s="263" t="s">
        <v>1588</v>
      </c>
      <c r="C712" s="263" t="s">
        <v>869</v>
      </c>
      <c r="D712" s="263" t="s">
        <v>910</v>
      </c>
      <c r="E712" s="263" t="s">
        <v>921</v>
      </c>
      <c r="F712" s="263" t="s">
        <v>282</v>
      </c>
    </row>
    <row r="713" spans="1:7" x14ac:dyDescent="0.25">
      <c r="A713" s="263">
        <v>39100338</v>
      </c>
      <c r="B713" s="263" t="s">
        <v>1589</v>
      </c>
      <c r="C713" s="263" t="s">
        <v>869</v>
      </c>
      <c r="D713" s="263" t="s">
        <v>910</v>
      </c>
      <c r="E713" s="263" t="s">
        <v>921</v>
      </c>
      <c r="F713" s="263" t="s">
        <v>282</v>
      </c>
    </row>
    <row r="714" spans="1:7" x14ac:dyDescent="0.25">
      <c r="A714" s="263">
        <v>39100349</v>
      </c>
      <c r="B714" s="263" t="s">
        <v>1590</v>
      </c>
      <c r="C714" s="263" t="s">
        <v>869</v>
      </c>
      <c r="D714" s="263" t="s">
        <v>910</v>
      </c>
      <c r="E714" s="263" t="s">
        <v>921</v>
      </c>
      <c r="F714" s="263" t="s">
        <v>282</v>
      </c>
    </row>
    <row r="715" spans="1:7" x14ac:dyDescent="0.25">
      <c r="A715" s="263">
        <v>39100357</v>
      </c>
      <c r="B715" s="263" t="s">
        <v>1591</v>
      </c>
      <c r="C715" s="263" t="s">
        <v>869</v>
      </c>
      <c r="D715" s="263" t="s">
        <v>910</v>
      </c>
      <c r="E715" s="263" t="s">
        <v>921</v>
      </c>
      <c r="F715" s="263" t="s">
        <v>282</v>
      </c>
    </row>
    <row r="716" spans="1:7" x14ac:dyDescent="0.25">
      <c r="A716" s="263">
        <v>39100399</v>
      </c>
      <c r="B716" s="263" t="s">
        <v>1592</v>
      </c>
      <c r="C716" s="263" t="s">
        <v>869</v>
      </c>
      <c r="D716" s="263" t="s">
        <v>910</v>
      </c>
      <c r="E716" s="263" t="s">
        <v>921</v>
      </c>
      <c r="F716" s="263" t="s">
        <v>282</v>
      </c>
      <c r="G716" s="263" t="s">
        <v>92</v>
      </c>
    </row>
    <row r="717" spans="1:7" x14ac:dyDescent="0.25">
      <c r="A717" s="263">
        <v>39100431</v>
      </c>
      <c r="B717" s="263" t="s">
        <v>1593</v>
      </c>
      <c r="C717" s="263" t="s">
        <v>869</v>
      </c>
      <c r="D717" s="263" t="s">
        <v>910</v>
      </c>
      <c r="E717" s="263" t="s">
        <v>921</v>
      </c>
      <c r="F717" s="263" t="s">
        <v>282</v>
      </c>
      <c r="G717" s="263" t="s">
        <v>92</v>
      </c>
    </row>
    <row r="718" spans="1:7" x14ac:dyDescent="0.25">
      <c r="A718" s="263">
        <v>39100435</v>
      </c>
      <c r="B718" s="263" t="s">
        <v>1594</v>
      </c>
      <c r="C718" s="263" t="s">
        <v>869</v>
      </c>
      <c r="D718" s="263" t="s">
        <v>910</v>
      </c>
      <c r="E718" s="263" t="s">
        <v>921</v>
      </c>
      <c r="F718" s="263" t="s">
        <v>282</v>
      </c>
      <c r="G718" s="263" t="s">
        <v>92</v>
      </c>
    </row>
    <row r="719" spans="1:7" x14ac:dyDescent="0.25">
      <c r="A719" s="263">
        <v>39100499</v>
      </c>
      <c r="B719" s="263" t="s">
        <v>1595</v>
      </c>
      <c r="C719" s="263" t="s">
        <v>869</v>
      </c>
      <c r="D719" s="263" t="s">
        <v>910</v>
      </c>
      <c r="E719" s="263" t="s">
        <v>921</v>
      </c>
      <c r="F719" s="263" t="s">
        <v>282</v>
      </c>
      <c r="G719" s="263" t="s">
        <v>92</v>
      </c>
    </row>
    <row r="720" spans="1:7" x14ac:dyDescent="0.25">
      <c r="A720" s="263">
        <v>39200199</v>
      </c>
      <c r="B720" s="263" t="s">
        <v>962</v>
      </c>
      <c r="C720" s="263" t="s">
        <v>869</v>
      </c>
      <c r="D720" s="263" t="s">
        <v>910</v>
      </c>
      <c r="E720" s="263" t="s">
        <v>781</v>
      </c>
      <c r="F720" s="263" t="s">
        <v>781</v>
      </c>
      <c r="G720" s="263" t="s">
        <v>92</v>
      </c>
    </row>
    <row r="721" spans="1:7" x14ac:dyDescent="0.25">
      <c r="A721" s="263">
        <v>39200299</v>
      </c>
      <c r="B721" s="263" t="s">
        <v>1109</v>
      </c>
      <c r="C721" s="263" t="s">
        <v>869</v>
      </c>
      <c r="D721" s="263" t="s">
        <v>910</v>
      </c>
      <c r="E721" s="263" t="s">
        <v>781</v>
      </c>
      <c r="F721" s="263" t="s">
        <v>781</v>
      </c>
      <c r="G721" s="263" t="s">
        <v>92</v>
      </c>
    </row>
    <row r="722" spans="1:7" x14ac:dyDescent="0.25">
      <c r="A722" s="263">
        <v>44090699</v>
      </c>
      <c r="B722" s="263" t="s">
        <v>1596</v>
      </c>
      <c r="C722" s="263" t="s">
        <v>869</v>
      </c>
      <c r="D722" s="263" t="s">
        <v>92</v>
      </c>
      <c r="E722" s="263" t="s">
        <v>355</v>
      </c>
      <c r="F722" s="263" t="s">
        <v>1597</v>
      </c>
      <c r="G722" s="263" t="s">
        <v>92</v>
      </c>
    </row>
    <row r="723" spans="1:7" x14ac:dyDescent="0.25">
      <c r="A723" s="263">
        <v>44160199</v>
      </c>
      <c r="B723" s="263" t="s">
        <v>1598</v>
      </c>
      <c r="C723" s="263" t="s">
        <v>869</v>
      </c>
      <c r="D723" s="263" t="s">
        <v>1599</v>
      </c>
      <c r="E723" s="263" t="s">
        <v>1600</v>
      </c>
      <c r="F723" s="263" t="s">
        <v>50</v>
      </c>
      <c r="G723" s="263" t="s">
        <v>92</v>
      </c>
    </row>
    <row r="724" spans="1:7" x14ac:dyDescent="0.25">
      <c r="A724" s="263">
        <v>44200199</v>
      </c>
      <c r="B724" s="263" t="s">
        <v>1601</v>
      </c>
      <c r="C724" s="263" t="s">
        <v>869</v>
      </c>
      <c r="D724" s="263" t="s">
        <v>910</v>
      </c>
      <c r="E724" s="263" t="s">
        <v>355</v>
      </c>
      <c r="F724" s="263" t="s">
        <v>1578</v>
      </c>
      <c r="G724" s="263" t="s">
        <v>92</v>
      </c>
    </row>
    <row r="725" spans="1:7" x14ac:dyDescent="0.25">
      <c r="A725" s="263">
        <v>44240120</v>
      </c>
      <c r="B725" s="263" t="s">
        <v>1602</v>
      </c>
      <c r="C725" s="263" t="s">
        <v>869</v>
      </c>
      <c r="D725" s="263" t="s">
        <v>92</v>
      </c>
      <c r="E725" s="263" t="s">
        <v>788</v>
      </c>
      <c r="F725" s="263" t="s">
        <v>1603</v>
      </c>
      <c r="G725" s="263" t="s">
        <v>92</v>
      </c>
    </row>
    <row r="726" spans="1:7" x14ac:dyDescent="0.25">
      <c r="A726" s="263">
        <v>44420299</v>
      </c>
      <c r="B726" s="263" t="s">
        <v>1604</v>
      </c>
      <c r="C726" s="263" t="s">
        <v>869</v>
      </c>
      <c r="D726" s="263" t="s">
        <v>910</v>
      </c>
      <c r="E726" s="263" t="s">
        <v>788</v>
      </c>
      <c r="F726" s="263" t="s">
        <v>1155</v>
      </c>
      <c r="G726" s="263" t="s">
        <v>92</v>
      </c>
    </row>
    <row r="727" spans="1:7" x14ac:dyDescent="0.25">
      <c r="A727" s="263">
        <v>44450199</v>
      </c>
      <c r="B727" s="263" t="s">
        <v>1605</v>
      </c>
      <c r="C727" s="263" t="s">
        <v>869</v>
      </c>
      <c r="D727" s="263" t="s">
        <v>92</v>
      </c>
      <c r="E727" s="263" t="s">
        <v>788</v>
      </c>
      <c r="F727" s="263" t="s">
        <v>1606</v>
      </c>
      <c r="G727" s="263" t="s">
        <v>92</v>
      </c>
    </row>
    <row r="728" spans="1:7" x14ac:dyDescent="0.25">
      <c r="A728" s="263">
        <v>44450299</v>
      </c>
      <c r="B728" s="263" t="s">
        <v>1607</v>
      </c>
      <c r="C728" s="263" t="s">
        <v>869</v>
      </c>
      <c r="D728" s="263" t="s">
        <v>92</v>
      </c>
      <c r="E728" s="263" t="s">
        <v>788</v>
      </c>
      <c r="F728" s="263" t="s">
        <v>1608</v>
      </c>
      <c r="G728" s="263" t="s">
        <v>92</v>
      </c>
    </row>
    <row r="729" spans="1:7" x14ac:dyDescent="0.25">
      <c r="A729" s="263">
        <v>44550199</v>
      </c>
      <c r="B729" s="263" t="s">
        <v>1609</v>
      </c>
      <c r="C729" s="263" t="s">
        <v>869</v>
      </c>
      <c r="D729" s="263" t="s">
        <v>92</v>
      </c>
      <c r="E729" s="263" t="s">
        <v>795</v>
      </c>
      <c r="F729" s="263" t="s">
        <v>1610</v>
      </c>
      <c r="G729" s="263" t="s">
        <v>92</v>
      </c>
    </row>
    <row r="730" spans="1:7" x14ac:dyDescent="0.25">
      <c r="A730" s="263">
        <v>44710199</v>
      </c>
      <c r="B730" s="263" t="s">
        <v>1611</v>
      </c>
      <c r="C730" s="263" t="s">
        <v>869</v>
      </c>
      <c r="D730" s="263" t="s">
        <v>1612</v>
      </c>
      <c r="E730" s="263" t="s">
        <v>1613</v>
      </c>
      <c r="F730" s="263" t="s">
        <v>1612</v>
      </c>
      <c r="G730" s="263" t="s">
        <v>92</v>
      </c>
    </row>
    <row r="731" spans="1:7" x14ac:dyDescent="0.25">
      <c r="A731" s="263">
        <v>44980199</v>
      </c>
      <c r="B731" s="263" t="s">
        <v>986</v>
      </c>
      <c r="C731" s="263" t="s">
        <v>869</v>
      </c>
      <c r="D731" s="263" t="s">
        <v>92</v>
      </c>
      <c r="E731" s="263" t="s">
        <v>795</v>
      </c>
      <c r="F731" s="263" t="s">
        <v>983</v>
      </c>
      <c r="G731" s="263" t="s">
        <v>92</v>
      </c>
    </row>
    <row r="732" spans="1:7" x14ac:dyDescent="0.25">
      <c r="A732" s="263">
        <v>44999999</v>
      </c>
      <c r="B732" s="263" t="s">
        <v>1614</v>
      </c>
      <c r="C732" s="263" t="s">
        <v>869</v>
      </c>
      <c r="D732" s="263" t="s">
        <v>1615</v>
      </c>
      <c r="E732" s="263" t="s">
        <v>1615</v>
      </c>
      <c r="F732" s="263" t="s">
        <v>1616</v>
      </c>
      <c r="G732" s="263" t="s">
        <v>92</v>
      </c>
    </row>
    <row r="733" spans="1:7" x14ac:dyDescent="0.25">
      <c r="A733" s="263">
        <v>47000199</v>
      </c>
      <c r="B733" s="263" t="s">
        <v>885</v>
      </c>
      <c r="C733" s="263" t="s">
        <v>869</v>
      </c>
      <c r="D733" s="263" t="s">
        <v>874</v>
      </c>
      <c r="E733" s="263" t="s">
        <v>1617</v>
      </c>
      <c r="F733" s="263" t="s">
        <v>349</v>
      </c>
      <c r="G733" s="263" t="s">
        <v>92</v>
      </c>
    </row>
    <row r="734" spans="1:7" x14ac:dyDescent="0.25">
      <c r="A734" s="263">
        <v>47000299</v>
      </c>
      <c r="B734" s="263" t="s">
        <v>1618</v>
      </c>
      <c r="C734" s="263" t="s">
        <v>869</v>
      </c>
      <c r="D734" s="263" t="s">
        <v>90</v>
      </c>
      <c r="E734" s="263" t="s">
        <v>921</v>
      </c>
      <c r="F734" s="263" t="s">
        <v>1619</v>
      </c>
    </row>
    <row r="735" spans="1:7" x14ac:dyDescent="0.25">
      <c r="A735" s="263">
        <v>47010199</v>
      </c>
      <c r="B735" s="263" t="s">
        <v>1620</v>
      </c>
      <c r="C735" s="263" t="s">
        <v>869</v>
      </c>
      <c r="D735" s="263" t="s">
        <v>90</v>
      </c>
      <c r="E735" s="263" t="s">
        <v>1617</v>
      </c>
      <c r="F735" s="263" t="s">
        <v>1621</v>
      </c>
    </row>
    <row r="736" spans="1:7" x14ac:dyDescent="0.25">
      <c r="A736" s="263">
        <v>47010299</v>
      </c>
      <c r="B736" s="263" t="s">
        <v>1622</v>
      </c>
      <c r="C736" s="263" t="s">
        <v>869</v>
      </c>
      <c r="D736" s="263" t="s">
        <v>90</v>
      </c>
      <c r="E736" s="263" t="s">
        <v>1617</v>
      </c>
      <c r="F736" s="263" t="s">
        <v>322</v>
      </c>
    </row>
    <row r="737" spans="1:6" x14ac:dyDescent="0.25">
      <c r="A737" s="263">
        <v>47020198</v>
      </c>
      <c r="B737" s="263" t="s">
        <v>607</v>
      </c>
      <c r="C737" s="263" t="s">
        <v>869</v>
      </c>
      <c r="D737" s="263" t="s">
        <v>90</v>
      </c>
      <c r="E737" s="263" t="s">
        <v>1617</v>
      </c>
      <c r="F737" s="263" t="s">
        <v>816</v>
      </c>
    </row>
    <row r="738" spans="1:6" x14ac:dyDescent="0.25">
      <c r="A738" s="263">
        <v>47020199</v>
      </c>
      <c r="B738" s="263" t="s">
        <v>887</v>
      </c>
      <c r="C738" s="263" t="s">
        <v>869</v>
      </c>
      <c r="D738" s="263" t="s">
        <v>874</v>
      </c>
      <c r="E738" s="263" t="s">
        <v>1617</v>
      </c>
      <c r="F738" s="263" t="s">
        <v>816</v>
      </c>
    </row>
    <row r="739" spans="1:6" x14ac:dyDescent="0.25">
      <c r="A739" s="263">
        <v>47030199</v>
      </c>
      <c r="B739" s="263" t="s">
        <v>888</v>
      </c>
      <c r="C739" s="263" t="s">
        <v>869</v>
      </c>
      <c r="D739" s="263" t="s">
        <v>874</v>
      </c>
      <c r="E739" s="263" t="s">
        <v>1617</v>
      </c>
      <c r="F739" s="263" t="s">
        <v>817</v>
      </c>
    </row>
    <row r="740" spans="1:6" x14ac:dyDescent="0.25">
      <c r="A740" s="263">
        <v>47040199</v>
      </c>
      <c r="B740" s="263" t="s">
        <v>1623</v>
      </c>
      <c r="C740" s="263" t="s">
        <v>869</v>
      </c>
      <c r="D740" s="263" t="s">
        <v>874</v>
      </c>
      <c r="E740" s="263" t="s">
        <v>900</v>
      </c>
      <c r="F740" s="263" t="s">
        <v>818</v>
      </c>
    </row>
    <row r="741" spans="1:6" x14ac:dyDescent="0.25">
      <c r="A741" s="263">
        <v>47050199</v>
      </c>
      <c r="B741" s="263" t="s">
        <v>1624</v>
      </c>
      <c r="C741" s="263" t="s">
        <v>869</v>
      </c>
      <c r="D741" s="263" t="s">
        <v>874</v>
      </c>
      <c r="E741" s="263" t="s">
        <v>1617</v>
      </c>
      <c r="F741" s="263" t="s">
        <v>350</v>
      </c>
    </row>
    <row r="742" spans="1:6" x14ac:dyDescent="0.25">
      <c r="A742" s="263">
        <v>47060199</v>
      </c>
      <c r="B742" s="263" t="s">
        <v>1625</v>
      </c>
      <c r="C742" s="263" t="s">
        <v>869</v>
      </c>
      <c r="D742" s="263" t="s">
        <v>874</v>
      </c>
      <c r="E742" s="263" t="s">
        <v>921</v>
      </c>
      <c r="F742" s="263" t="s">
        <v>990</v>
      </c>
    </row>
    <row r="743" spans="1:6" x14ac:dyDescent="0.25">
      <c r="A743" s="263">
        <v>47090199</v>
      </c>
      <c r="B743" s="263" t="s">
        <v>783</v>
      </c>
      <c r="C743" s="263" t="s">
        <v>869</v>
      </c>
      <c r="D743" s="263" t="s">
        <v>874</v>
      </c>
      <c r="E743" s="263" t="s">
        <v>782</v>
      </c>
      <c r="F743" s="263" t="s">
        <v>783</v>
      </c>
    </row>
    <row r="744" spans="1:6" x14ac:dyDescent="0.25">
      <c r="A744" s="263">
        <v>47100101</v>
      </c>
      <c r="B744" s="263" t="s">
        <v>1626</v>
      </c>
      <c r="C744" s="263" t="s">
        <v>869</v>
      </c>
      <c r="D744" s="263" t="s">
        <v>874</v>
      </c>
      <c r="E744" s="263" t="s">
        <v>890</v>
      </c>
      <c r="F744" s="263" t="s">
        <v>820</v>
      </c>
    </row>
    <row r="745" spans="1:6" x14ac:dyDescent="0.25">
      <c r="A745" s="263">
        <v>47110101</v>
      </c>
      <c r="B745" s="263" t="s">
        <v>1627</v>
      </c>
      <c r="C745" s="263" t="s">
        <v>869</v>
      </c>
      <c r="D745" s="263" t="s">
        <v>874</v>
      </c>
      <c r="E745" s="263" t="s">
        <v>890</v>
      </c>
      <c r="F745" s="263" t="s">
        <v>341</v>
      </c>
    </row>
    <row r="746" spans="1:6" x14ac:dyDescent="0.25">
      <c r="A746" s="263">
        <v>47120101</v>
      </c>
      <c r="B746" s="263" t="s">
        <v>1628</v>
      </c>
      <c r="C746" s="263" t="s">
        <v>869</v>
      </c>
      <c r="D746" s="263" t="s">
        <v>874</v>
      </c>
      <c r="E746" s="263" t="s">
        <v>890</v>
      </c>
      <c r="F746" s="263" t="s">
        <v>342</v>
      </c>
    </row>
    <row r="747" spans="1:6" x14ac:dyDescent="0.25">
      <c r="A747" s="263">
        <v>47140101</v>
      </c>
      <c r="B747" s="263" t="s">
        <v>1629</v>
      </c>
      <c r="C747" s="263" t="s">
        <v>869</v>
      </c>
      <c r="D747" s="263" t="s">
        <v>874</v>
      </c>
      <c r="E747" s="263" t="s">
        <v>890</v>
      </c>
      <c r="F747" s="263" t="s">
        <v>344</v>
      </c>
    </row>
    <row r="748" spans="1:6" x14ac:dyDescent="0.25">
      <c r="A748" s="263">
        <v>47150101</v>
      </c>
      <c r="B748" s="263" t="s">
        <v>994</v>
      </c>
      <c r="C748" s="263" t="s">
        <v>869</v>
      </c>
      <c r="D748" s="263" t="s">
        <v>874</v>
      </c>
      <c r="E748" s="263" t="s">
        <v>890</v>
      </c>
      <c r="F748" s="263" t="s">
        <v>821</v>
      </c>
    </row>
    <row r="749" spans="1:6" x14ac:dyDescent="0.25">
      <c r="A749" s="263">
        <v>47160101</v>
      </c>
      <c r="B749" s="263" t="s">
        <v>1630</v>
      </c>
      <c r="C749" s="263" t="s">
        <v>869</v>
      </c>
      <c r="D749" s="263" t="s">
        <v>874</v>
      </c>
      <c r="E749" s="263" t="s">
        <v>921</v>
      </c>
      <c r="F749" s="263" t="s">
        <v>352</v>
      </c>
    </row>
    <row r="750" spans="1:6" x14ac:dyDescent="0.25">
      <c r="A750" s="263">
        <v>47160201</v>
      </c>
      <c r="B750" s="263" t="s">
        <v>1631</v>
      </c>
      <c r="C750" s="263" t="s">
        <v>869</v>
      </c>
      <c r="D750" s="263" t="s">
        <v>874</v>
      </c>
      <c r="E750" s="263" t="s">
        <v>921</v>
      </c>
      <c r="F750" s="263" t="s">
        <v>352</v>
      </c>
    </row>
    <row r="751" spans="1:6" x14ac:dyDescent="0.25">
      <c r="A751" s="263">
        <v>47160301</v>
      </c>
      <c r="B751" s="263" t="s">
        <v>996</v>
      </c>
      <c r="C751" s="263" t="s">
        <v>869</v>
      </c>
      <c r="D751" s="263" t="s">
        <v>874</v>
      </c>
      <c r="E751" s="263" t="s">
        <v>921</v>
      </c>
      <c r="F751" s="263" t="s">
        <v>352</v>
      </c>
    </row>
    <row r="752" spans="1:6" x14ac:dyDescent="0.25">
      <c r="A752" s="263">
        <v>47170101</v>
      </c>
      <c r="B752" s="263" t="s">
        <v>1632</v>
      </c>
      <c r="C752" s="263" t="s">
        <v>869</v>
      </c>
      <c r="D752" s="263" t="s">
        <v>874</v>
      </c>
      <c r="E752" s="263" t="s">
        <v>921</v>
      </c>
      <c r="F752" s="263" t="s">
        <v>1518</v>
      </c>
    </row>
    <row r="753" spans="1:7" x14ac:dyDescent="0.25">
      <c r="A753" s="263">
        <v>47180101</v>
      </c>
      <c r="B753" s="263" t="s">
        <v>1011</v>
      </c>
      <c r="C753" s="263" t="s">
        <v>869</v>
      </c>
      <c r="D753" s="263" t="s">
        <v>874</v>
      </c>
      <c r="E753" s="263" t="s">
        <v>890</v>
      </c>
      <c r="F753" s="263" t="s">
        <v>1633</v>
      </c>
    </row>
    <row r="754" spans="1:7" x14ac:dyDescent="0.25">
      <c r="A754" s="263">
        <v>47180102</v>
      </c>
      <c r="B754" s="263" t="s">
        <v>1634</v>
      </c>
      <c r="C754" s="263" t="s">
        <v>869</v>
      </c>
      <c r="D754" s="263" t="s">
        <v>874</v>
      </c>
      <c r="E754" s="263" t="s">
        <v>1617</v>
      </c>
      <c r="F754" s="263" t="s">
        <v>1635</v>
      </c>
    </row>
    <row r="755" spans="1:7" x14ac:dyDescent="0.25">
      <c r="A755" s="263">
        <v>47180199</v>
      </c>
      <c r="B755" s="263" t="s">
        <v>1636</v>
      </c>
      <c r="C755" s="263" t="s">
        <v>869</v>
      </c>
      <c r="D755" s="263" t="s">
        <v>874</v>
      </c>
      <c r="E755" s="263" t="s">
        <v>890</v>
      </c>
      <c r="F755" s="263" t="s">
        <v>1633</v>
      </c>
    </row>
    <row r="756" spans="1:7" x14ac:dyDescent="0.25">
      <c r="A756" s="263">
        <v>47190101</v>
      </c>
      <c r="B756" s="263" t="s">
        <v>1637</v>
      </c>
      <c r="C756" s="263" t="s">
        <v>869</v>
      </c>
      <c r="D756" s="263" t="s">
        <v>874</v>
      </c>
      <c r="E756" s="263" t="s">
        <v>890</v>
      </c>
      <c r="F756" s="263" t="s">
        <v>351</v>
      </c>
    </row>
    <row r="757" spans="1:7" x14ac:dyDescent="0.25">
      <c r="A757" s="263">
        <v>47190301</v>
      </c>
      <c r="B757" s="263" t="s">
        <v>1638</v>
      </c>
      <c r="C757" s="263" t="s">
        <v>869</v>
      </c>
      <c r="D757" s="263" t="s">
        <v>874</v>
      </c>
      <c r="E757" s="263" t="s">
        <v>890</v>
      </c>
      <c r="F757" s="263" t="s">
        <v>1639</v>
      </c>
    </row>
    <row r="758" spans="1:7" x14ac:dyDescent="0.25">
      <c r="A758" s="263">
        <v>47190401</v>
      </c>
      <c r="B758" s="263" t="s">
        <v>1257</v>
      </c>
      <c r="C758" s="263" t="s">
        <v>869</v>
      </c>
      <c r="D758" s="263" t="s">
        <v>874</v>
      </c>
      <c r="E758" s="263" t="s">
        <v>890</v>
      </c>
      <c r="F758" s="263" t="s">
        <v>1639</v>
      </c>
    </row>
    <row r="759" spans="1:7" x14ac:dyDescent="0.25">
      <c r="A759" s="263">
        <v>47190501</v>
      </c>
      <c r="B759" s="263" t="s">
        <v>1640</v>
      </c>
      <c r="C759" s="263" t="s">
        <v>869</v>
      </c>
      <c r="D759" s="263" t="s">
        <v>874</v>
      </c>
      <c r="E759" s="263" t="s">
        <v>890</v>
      </c>
      <c r="F759" s="263" t="s">
        <v>1639</v>
      </c>
    </row>
    <row r="760" spans="1:7" x14ac:dyDescent="0.25">
      <c r="A760" s="263">
        <v>47190599</v>
      </c>
      <c r="B760" s="263" t="s">
        <v>1641</v>
      </c>
      <c r="C760" s="263" t="s">
        <v>869</v>
      </c>
      <c r="D760" s="263" t="s">
        <v>874</v>
      </c>
      <c r="E760" s="263" t="s">
        <v>890</v>
      </c>
      <c r="F760" s="263" t="s">
        <v>1639</v>
      </c>
    </row>
    <row r="761" spans="1:7" x14ac:dyDescent="0.25">
      <c r="A761" s="263">
        <v>47410101</v>
      </c>
      <c r="B761" s="263" t="s">
        <v>1642</v>
      </c>
      <c r="C761" s="263" t="s">
        <v>869</v>
      </c>
      <c r="D761" s="263" t="s">
        <v>874</v>
      </c>
      <c r="E761" s="263" t="s">
        <v>890</v>
      </c>
      <c r="F761" s="263" t="s">
        <v>1639</v>
      </c>
    </row>
    <row r="762" spans="1:7" x14ac:dyDescent="0.25">
      <c r="A762" s="263">
        <v>47421401</v>
      </c>
      <c r="B762" s="263" t="s">
        <v>1643</v>
      </c>
      <c r="C762" s="263" t="s">
        <v>869</v>
      </c>
      <c r="D762" s="263" t="s">
        <v>874</v>
      </c>
      <c r="E762" s="263" t="s">
        <v>890</v>
      </c>
      <c r="F762" s="263" t="s">
        <v>1639</v>
      </c>
    </row>
    <row r="763" spans="1:7" x14ac:dyDescent="0.25">
      <c r="A763" s="263">
        <v>47421499</v>
      </c>
      <c r="B763" s="263" t="s">
        <v>1644</v>
      </c>
      <c r="C763" s="263" t="s">
        <v>869</v>
      </c>
      <c r="D763" s="263" t="s">
        <v>874</v>
      </c>
      <c r="E763" s="263" t="s">
        <v>890</v>
      </c>
      <c r="F763" s="263" t="s">
        <v>1639</v>
      </c>
    </row>
    <row r="764" spans="1:7" x14ac:dyDescent="0.25">
      <c r="A764" s="263">
        <v>47422099</v>
      </c>
      <c r="B764" s="263" t="s">
        <v>1645</v>
      </c>
      <c r="C764" s="263" t="s">
        <v>869</v>
      </c>
      <c r="D764" s="263" t="s">
        <v>874</v>
      </c>
      <c r="E764" s="263" t="s">
        <v>921</v>
      </c>
      <c r="F764" s="263" t="s">
        <v>1518</v>
      </c>
    </row>
    <row r="765" spans="1:7" x14ac:dyDescent="0.25">
      <c r="A765" s="263">
        <v>47440101</v>
      </c>
      <c r="B765" s="263" t="s">
        <v>1646</v>
      </c>
      <c r="C765" s="263" t="s">
        <v>869</v>
      </c>
      <c r="D765" s="263" t="s">
        <v>874</v>
      </c>
      <c r="E765" s="263" t="s">
        <v>921</v>
      </c>
      <c r="F765" s="263" t="s">
        <v>1518</v>
      </c>
    </row>
    <row r="766" spans="1:7" x14ac:dyDescent="0.25">
      <c r="A766" s="263">
        <v>47440199</v>
      </c>
      <c r="B766" s="263" t="s">
        <v>1647</v>
      </c>
      <c r="C766" s="263" t="s">
        <v>869</v>
      </c>
      <c r="D766" s="263" t="s">
        <v>874</v>
      </c>
      <c r="E766" s="263" t="s">
        <v>921</v>
      </c>
      <c r="F766" s="263" t="s">
        <v>1518</v>
      </c>
    </row>
    <row r="767" spans="1:7" x14ac:dyDescent="0.25">
      <c r="A767" s="263">
        <v>47440301</v>
      </c>
      <c r="B767" s="263" t="s">
        <v>1648</v>
      </c>
      <c r="C767" s="263" t="s">
        <v>869</v>
      </c>
      <c r="D767" s="263" t="s">
        <v>874</v>
      </c>
      <c r="E767" s="263" t="s">
        <v>890</v>
      </c>
      <c r="F767" s="263" t="s">
        <v>1649</v>
      </c>
      <c r="G767" s="263" t="s">
        <v>872</v>
      </c>
    </row>
    <row r="768" spans="1:7" x14ac:dyDescent="0.25">
      <c r="A768" s="263">
        <v>47440401</v>
      </c>
      <c r="B768" s="263" t="s">
        <v>1650</v>
      </c>
      <c r="C768" s="263" t="s">
        <v>869</v>
      </c>
      <c r="D768" s="263" t="s">
        <v>874</v>
      </c>
      <c r="E768" s="263" t="s">
        <v>921</v>
      </c>
      <c r="F768" s="263" t="s">
        <v>1066</v>
      </c>
      <c r="G768" s="263" t="s">
        <v>872</v>
      </c>
    </row>
    <row r="769" spans="1:7" x14ac:dyDescent="0.25">
      <c r="A769" s="263">
        <v>47440499</v>
      </c>
      <c r="B769" s="263" t="s">
        <v>1651</v>
      </c>
      <c r="C769" s="263" t="s">
        <v>869</v>
      </c>
      <c r="D769" s="263" t="s">
        <v>874</v>
      </c>
      <c r="E769" s="263" t="s">
        <v>921</v>
      </c>
      <c r="F769" s="263" t="s">
        <v>1066</v>
      </c>
      <c r="G769" s="263" t="s">
        <v>872</v>
      </c>
    </row>
    <row r="770" spans="1:7" x14ac:dyDescent="0.25">
      <c r="A770" s="263">
        <v>47440599</v>
      </c>
      <c r="B770" s="263" t="s">
        <v>624</v>
      </c>
      <c r="C770" s="263" t="s">
        <v>869</v>
      </c>
      <c r="D770" s="263" t="s">
        <v>874</v>
      </c>
      <c r="E770" s="263" t="s">
        <v>921</v>
      </c>
      <c r="F770" s="263" t="s">
        <v>1518</v>
      </c>
    </row>
    <row r="771" spans="1:7" x14ac:dyDescent="0.25">
      <c r="A771" s="263">
        <v>47450199</v>
      </c>
      <c r="B771" s="263" t="s">
        <v>1652</v>
      </c>
      <c r="C771" s="263" t="s">
        <v>869</v>
      </c>
      <c r="D771" s="263" t="s">
        <v>874</v>
      </c>
      <c r="E771" s="263" t="s">
        <v>921</v>
      </c>
      <c r="F771" s="263" t="s">
        <v>945</v>
      </c>
      <c r="G771" s="263" t="s">
        <v>872</v>
      </c>
    </row>
    <row r="772" spans="1:7" x14ac:dyDescent="0.25">
      <c r="A772" s="263">
        <v>47499999</v>
      </c>
      <c r="B772" s="263" t="s">
        <v>784</v>
      </c>
      <c r="C772" s="263" t="s">
        <v>869</v>
      </c>
      <c r="D772" s="263" t="s">
        <v>874</v>
      </c>
      <c r="E772" s="263" t="s">
        <v>782</v>
      </c>
      <c r="F772" s="263" t="s">
        <v>784</v>
      </c>
      <c r="G772" s="263" t="s">
        <v>872</v>
      </c>
    </row>
    <row r="773" spans="1:7" x14ac:dyDescent="0.25">
      <c r="A773" s="263">
        <v>47700199</v>
      </c>
      <c r="B773" s="263" t="s">
        <v>1653</v>
      </c>
      <c r="C773" s="263" t="s">
        <v>869</v>
      </c>
      <c r="D773" s="263" t="s">
        <v>90</v>
      </c>
      <c r="E773" s="263" t="s">
        <v>921</v>
      </c>
      <c r="F773" s="263" t="s">
        <v>1654</v>
      </c>
      <c r="G773" s="263" t="s">
        <v>872</v>
      </c>
    </row>
    <row r="774" spans="1:7" x14ac:dyDescent="0.25">
      <c r="A774" s="263">
        <v>47710199</v>
      </c>
      <c r="B774" s="263" t="s">
        <v>1655</v>
      </c>
      <c r="C774" s="263" t="s">
        <v>869</v>
      </c>
      <c r="D774" s="263" t="s">
        <v>90</v>
      </c>
      <c r="E774" s="263" t="s">
        <v>921</v>
      </c>
      <c r="F774" s="263" t="s">
        <v>1656</v>
      </c>
      <c r="G774" s="263" t="s">
        <v>872</v>
      </c>
    </row>
    <row r="775" spans="1:7" x14ac:dyDescent="0.25">
      <c r="A775" s="263">
        <v>47720199</v>
      </c>
      <c r="B775" s="263" t="s">
        <v>1657</v>
      </c>
      <c r="C775" s="263" t="s">
        <v>869</v>
      </c>
      <c r="D775" s="263" t="s">
        <v>90</v>
      </c>
      <c r="E775" s="263" t="s">
        <v>921</v>
      </c>
      <c r="F775" s="263" t="s">
        <v>1658</v>
      </c>
      <c r="G775" s="263" t="s">
        <v>872</v>
      </c>
    </row>
    <row r="776" spans="1:7" x14ac:dyDescent="0.25">
      <c r="A776" s="263">
        <v>47730199</v>
      </c>
      <c r="B776" s="263" t="s">
        <v>1659</v>
      </c>
      <c r="C776" s="263" t="s">
        <v>869</v>
      </c>
      <c r="D776" s="263" t="s">
        <v>90</v>
      </c>
      <c r="E776" s="263" t="s">
        <v>921</v>
      </c>
      <c r="F776" s="263" t="s">
        <v>1660</v>
      </c>
      <c r="G776" s="263" t="s">
        <v>872</v>
      </c>
    </row>
    <row r="777" spans="1:7" x14ac:dyDescent="0.25">
      <c r="A777" s="263">
        <v>47730299</v>
      </c>
      <c r="B777" s="263" t="s">
        <v>1661</v>
      </c>
      <c r="C777" s="263" t="s">
        <v>869</v>
      </c>
      <c r="D777" s="263" t="s">
        <v>90</v>
      </c>
      <c r="E777" s="263" t="s">
        <v>921</v>
      </c>
      <c r="F777" s="263" t="s">
        <v>1662</v>
      </c>
      <c r="G777" s="263" t="s">
        <v>872</v>
      </c>
    </row>
    <row r="778" spans="1:7" x14ac:dyDescent="0.25">
      <c r="A778" s="263">
        <v>47730399</v>
      </c>
      <c r="B778" s="263" t="s">
        <v>1663</v>
      </c>
      <c r="C778" s="263" t="s">
        <v>869</v>
      </c>
      <c r="D778" s="263" t="s">
        <v>90</v>
      </c>
      <c r="E778" s="263" t="s">
        <v>921</v>
      </c>
      <c r="F778" s="263" t="s">
        <v>1664</v>
      </c>
      <c r="G778" s="263" t="s">
        <v>872</v>
      </c>
    </row>
    <row r="779" spans="1:7" x14ac:dyDescent="0.25">
      <c r="A779" s="263">
        <v>47730499</v>
      </c>
      <c r="B779" s="263" t="s">
        <v>1665</v>
      </c>
      <c r="C779" s="263" t="s">
        <v>869</v>
      </c>
      <c r="D779" s="263" t="s">
        <v>90</v>
      </c>
      <c r="E779" s="263" t="s">
        <v>921</v>
      </c>
      <c r="F779" s="263" t="s">
        <v>1666</v>
      </c>
    </row>
    <row r="780" spans="1:7" x14ac:dyDescent="0.25">
      <c r="A780" s="263">
        <v>47740199</v>
      </c>
      <c r="B780" s="263" t="s">
        <v>1667</v>
      </c>
      <c r="C780" s="263" t="s">
        <v>869</v>
      </c>
      <c r="D780" s="263" t="s">
        <v>90</v>
      </c>
      <c r="E780" s="263" t="s">
        <v>921</v>
      </c>
      <c r="F780" s="263" t="s">
        <v>1506</v>
      </c>
    </row>
    <row r="781" spans="1:7" x14ac:dyDescent="0.25">
      <c r="A781" s="263">
        <v>47760199</v>
      </c>
      <c r="B781" s="263" t="s">
        <v>1668</v>
      </c>
      <c r="C781" s="263" t="s">
        <v>869</v>
      </c>
      <c r="D781" s="263" t="s">
        <v>90</v>
      </c>
      <c r="E781" s="263" t="s">
        <v>921</v>
      </c>
      <c r="F781" s="263" t="s">
        <v>1669</v>
      </c>
    </row>
    <row r="782" spans="1:7" x14ac:dyDescent="0.25">
      <c r="A782" s="263">
        <v>47770199</v>
      </c>
      <c r="B782" s="263" t="s">
        <v>1670</v>
      </c>
      <c r="C782" s="263" t="s">
        <v>869</v>
      </c>
      <c r="D782" s="263" t="s">
        <v>90</v>
      </c>
      <c r="E782" s="263" t="s">
        <v>921</v>
      </c>
      <c r="F782" s="263" t="s">
        <v>1671</v>
      </c>
    </row>
    <row r="783" spans="1:7" x14ac:dyDescent="0.25">
      <c r="A783" s="263">
        <v>47780199</v>
      </c>
      <c r="B783" s="263" t="s">
        <v>1507</v>
      </c>
      <c r="C783" s="263" t="s">
        <v>869</v>
      </c>
      <c r="D783" s="263" t="s">
        <v>90</v>
      </c>
      <c r="E783" s="263" t="s">
        <v>921</v>
      </c>
      <c r="F783" s="263" t="s">
        <v>1508</v>
      </c>
    </row>
    <row r="784" spans="1:7" x14ac:dyDescent="0.25">
      <c r="A784" s="263">
        <v>47900199</v>
      </c>
      <c r="B784" s="263" t="s">
        <v>1672</v>
      </c>
      <c r="C784" s="263" t="s">
        <v>869</v>
      </c>
      <c r="D784" s="263" t="s">
        <v>92</v>
      </c>
      <c r="E784" s="263" t="s">
        <v>1075</v>
      </c>
      <c r="F784" s="263" t="s">
        <v>1510</v>
      </c>
    </row>
    <row r="785" spans="1:7" x14ac:dyDescent="0.25">
      <c r="A785" s="263">
        <v>47910199</v>
      </c>
      <c r="B785" s="263" t="s">
        <v>1673</v>
      </c>
      <c r="C785" s="263" t="s">
        <v>869</v>
      </c>
      <c r="D785" s="263" t="s">
        <v>92</v>
      </c>
      <c r="E785" s="263" t="s">
        <v>1075</v>
      </c>
      <c r="F785" s="263" t="s">
        <v>1510</v>
      </c>
    </row>
    <row r="786" spans="1:7" x14ac:dyDescent="0.25">
      <c r="A786" s="263">
        <v>48000198</v>
      </c>
      <c r="B786" s="263" t="s">
        <v>1674</v>
      </c>
      <c r="C786" s="263" t="s">
        <v>869</v>
      </c>
      <c r="D786" s="263" t="s">
        <v>92</v>
      </c>
      <c r="E786" s="263" t="s">
        <v>1075</v>
      </c>
      <c r="F786" s="263" t="s">
        <v>1510</v>
      </c>
    </row>
    <row r="787" spans="1:7" x14ac:dyDescent="0.25">
      <c r="A787" s="263">
        <v>48000199</v>
      </c>
      <c r="B787" s="263" t="s">
        <v>1675</v>
      </c>
      <c r="C787" s="263" t="s">
        <v>869</v>
      </c>
      <c r="D787" s="263" t="s">
        <v>1676</v>
      </c>
      <c r="E787" s="263" t="s">
        <v>1075</v>
      </c>
      <c r="F787" s="263" t="s">
        <v>1677</v>
      </c>
    </row>
    <row r="788" spans="1:7" x14ac:dyDescent="0.25">
      <c r="A788" s="263">
        <v>48100199</v>
      </c>
      <c r="B788" s="263" t="s">
        <v>1678</v>
      </c>
      <c r="C788" s="263" t="s">
        <v>869</v>
      </c>
      <c r="D788" s="263" t="s">
        <v>874</v>
      </c>
      <c r="E788" s="263" t="s">
        <v>921</v>
      </c>
      <c r="F788" s="263" t="s">
        <v>821</v>
      </c>
    </row>
    <row r="789" spans="1:7" x14ac:dyDescent="0.25">
      <c r="A789" s="263">
        <v>48110101</v>
      </c>
      <c r="B789" s="263" t="s">
        <v>1679</v>
      </c>
      <c r="C789" s="263" t="s">
        <v>869</v>
      </c>
      <c r="D789" s="263" t="s">
        <v>874</v>
      </c>
      <c r="E789" s="263" t="s">
        <v>921</v>
      </c>
      <c r="F789" s="263" t="s">
        <v>1680</v>
      </c>
    </row>
    <row r="790" spans="1:7" x14ac:dyDescent="0.25">
      <c r="A790" s="263">
        <v>48110199</v>
      </c>
      <c r="B790" s="263" t="s">
        <v>1681</v>
      </c>
      <c r="C790" s="263" t="s">
        <v>869</v>
      </c>
      <c r="D790" s="263" t="s">
        <v>874</v>
      </c>
      <c r="E790" s="263" t="s">
        <v>921</v>
      </c>
      <c r="F790" s="263" t="s">
        <v>1680</v>
      </c>
    </row>
    <row r="791" spans="1:7" x14ac:dyDescent="0.25">
      <c r="A791" s="263">
        <v>48110299</v>
      </c>
      <c r="B791" s="263" t="s">
        <v>1682</v>
      </c>
      <c r="C791" s="263" t="s">
        <v>869</v>
      </c>
      <c r="D791" s="263" t="s">
        <v>874</v>
      </c>
      <c r="E791" s="263" t="s">
        <v>921</v>
      </c>
      <c r="F791" s="263" t="s">
        <v>1683</v>
      </c>
    </row>
    <row r="792" spans="1:7" x14ac:dyDescent="0.25">
      <c r="A792" s="263">
        <v>48120101</v>
      </c>
      <c r="B792" s="263" t="s">
        <v>1684</v>
      </c>
      <c r="C792" s="263" t="s">
        <v>869</v>
      </c>
      <c r="D792" s="263" t="s">
        <v>874</v>
      </c>
      <c r="E792" s="263" t="s">
        <v>921</v>
      </c>
      <c r="F792" s="263" t="s">
        <v>1518</v>
      </c>
    </row>
    <row r="793" spans="1:7" x14ac:dyDescent="0.25">
      <c r="A793" s="263">
        <v>48130101</v>
      </c>
      <c r="B793" s="263" t="s">
        <v>1091</v>
      </c>
      <c r="C793" s="263" t="s">
        <v>869</v>
      </c>
      <c r="D793" s="263" t="s">
        <v>874</v>
      </c>
      <c r="E793" s="263" t="s">
        <v>921</v>
      </c>
      <c r="F793" s="263" t="s">
        <v>1685</v>
      </c>
    </row>
    <row r="794" spans="1:7" x14ac:dyDescent="0.25">
      <c r="A794" s="263">
        <v>48140101</v>
      </c>
      <c r="B794" s="263" t="s">
        <v>1686</v>
      </c>
      <c r="C794" s="263" t="s">
        <v>869</v>
      </c>
      <c r="D794" s="263" t="s">
        <v>874</v>
      </c>
      <c r="E794" s="263" t="s">
        <v>921</v>
      </c>
      <c r="F794" s="263" t="s">
        <v>1687</v>
      </c>
    </row>
    <row r="795" spans="1:7" x14ac:dyDescent="0.25">
      <c r="A795" s="263">
        <v>48150199</v>
      </c>
      <c r="B795" s="263" t="s">
        <v>1092</v>
      </c>
      <c r="C795" s="263" t="s">
        <v>869</v>
      </c>
      <c r="D795" s="263" t="s">
        <v>874</v>
      </c>
      <c r="E795" s="263" t="s">
        <v>921</v>
      </c>
      <c r="F795" s="263" t="s">
        <v>356</v>
      </c>
    </row>
    <row r="796" spans="1:7" x14ac:dyDescent="0.25">
      <c r="A796" s="263">
        <v>48160199</v>
      </c>
      <c r="B796" s="263" t="s">
        <v>1688</v>
      </c>
      <c r="C796" s="263" t="s">
        <v>869</v>
      </c>
      <c r="D796" s="263" t="s">
        <v>874</v>
      </c>
      <c r="E796" s="263" t="s">
        <v>921</v>
      </c>
      <c r="F796" s="263" t="s">
        <v>356</v>
      </c>
      <c r="G796" s="263" t="s">
        <v>92</v>
      </c>
    </row>
    <row r="797" spans="1:7" x14ac:dyDescent="0.25">
      <c r="A797" s="263">
        <v>48170199</v>
      </c>
      <c r="B797" s="263" t="s">
        <v>1520</v>
      </c>
      <c r="C797" s="263" t="s">
        <v>869</v>
      </c>
      <c r="D797" s="263" t="s">
        <v>874</v>
      </c>
      <c r="E797" s="263" t="s">
        <v>921</v>
      </c>
      <c r="F797" s="263" t="s">
        <v>356</v>
      </c>
    </row>
    <row r="798" spans="1:7" x14ac:dyDescent="0.25">
      <c r="A798" s="263">
        <v>48180199</v>
      </c>
      <c r="B798" s="263" t="s">
        <v>1689</v>
      </c>
      <c r="C798" s="263" t="s">
        <v>869</v>
      </c>
      <c r="D798" s="263" t="s">
        <v>874</v>
      </c>
      <c r="E798" s="263" t="s">
        <v>921</v>
      </c>
      <c r="F798" s="263" t="s">
        <v>1522</v>
      </c>
    </row>
    <row r="799" spans="1:7" x14ac:dyDescent="0.25">
      <c r="A799" s="263">
        <v>48190101</v>
      </c>
      <c r="B799" s="263" t="s">
        <v>1690</v>
      </c>
      <c r="C799" s="263" t="s">
        <v>869</v>
      </c>
      <c r="D799" s="263" t="s">
        <v>874</v>
      </c>
      <c r="E799" s="263" t="s">
        <v>921</v>
      </c>
      <c r="F799" s="263" t="s">
        <v>822</v>
      </c>
      <c r="G799" s="263" t="s">
        <v>92</v>
      </c>
    </row>
    <row r="800" spans="1:7" x14ac:dyDescent="0.25">
      <c r="A800" s="263">
        <v>48200101</v>
      </c>
      <c r="B800" s="263" t="s">
        <v>1691</v>
      </c>
      <c r="C800" s="263" t="s">
        <v>869</v>
      </c>
      <c r="D800" s="263" t="s">
        <v>874</v>
      </c>
      <c r="E800" s="263" t="s">
        <v>921</v>
      </c>
      <c r="F800" s="263" t="s">
        <v>1692</v>
      </c>
      <c r="G800" s="263" t="s">
        <v>92</v>
      </c>
    </row>
    <row r="801" spans="1:7" x14ac:dyDescent="0.25">
      <c r="A801" s="263">
        <v>48210199</v>
      </c>
      <c r="B801" s="263" t="s">
        <v>1693</v>
      </c>
      <c r="C801" s="263" t="s">
        <v>869</v>
      </c>
      <c r="D801" s="263" t="s">
        <v>92</v>
      </c>
      <c r="E801" s="263" t="s">
        <v>1075</v>
      </c>
      <c r="F801" s="263" t="s">
        <v>1694</v>
      </c>
    </row>
    <row r="802" spans="1:7" x14ac:dyDescent="0.25">
      <c r="A802" s="263">
        <v>48210299</v>
      </c>
      <c r="B802" s="263" t="s">
        <v>1695</v>
      </c>
      <c r="C802" s="263" t="s">
        <v>869</v>
      </c>
      <c r="D802" s="263" t="s">
        <v>92</v>
      </c>
      <c r="E802" s="263" t="s">
        <v>921</v>
      </c>
      <c r="F802" s="263" t="s">
        <v>1696</v>
      </c>
    </row>
    <row r="803" spans="1:7" x14ac:dyDescent="0.25">
      <c r="A803" s="263">
        <v>48220101</v>
      </c>
      <c r="B803" s="263" t="s">
        <v>1697</v>
      </c>
      <c r="C803" s="263" t="s">
        <v>869</v>
      </c>
      <c r="D803" s="263" t="s">
        <v>874</v>
      </c>
      <c r="E803" s="263" t="s">
        <v>921</v>
      </c>
      <c r="F803" s="263" t="s">
        <v>956</v>
      </c>
      <c r="G803" s="263" t="s">
        <v>92</v>
      </c>
    </row>
    <row r="804" spans="1:7" x14ac:dyDescent="0.25">
      <c r="A804" s="263">
        <v>48220199</v>
      </c>
      <c r="B804" s="263" t="s">
        <v>1698</v>
      </c>
      <c r="C804" s="263" t="s">
        <v>869</v>
      </c>
      <c r="D804" s="263" t="s">
        <v>874</v>
      </c>
      <c r="E804" s="263" t="s">
        <v>921</v>
      </c>
      <c r="F804" s="263" t="s">
        <v>956</v>
      </c>
      <c r="G804" s="263" t="s">
        <v>92</v>
      </c>
    </row>
    <row r="805" spans="1:7" x14ac:dyDescent="0.25">
      <c r="A805" s="263">
        <v>48220299</v>
      </c>
      <c r="B805" s="263" t="s">
        <v>1699</v>
      </c>
      <c r="C805" s="263" t="s">
        <v>869</v>
      </c>
      <c r="D805" s="263" t="s">
        <v>92</v>
      </c>
      <c r="E805" s="263" t="s">
        <v>921</v>
      </c>
      <c r="F805" s="263" t="s">
        <v>1699</v>
      </c>
      <c r="G805" s="263" t="s">
        <v>92</v>
      </c>
    </row>
    <row r="806" spans="1:7" x14ac:dyDescent="0.25">
      <c r="A806" s="263">
        <v>48300199</v>
      </c>
      <c r="B806" s="263" t="s">
        <v>1700</v>
      </c>
      <c r="C806" s="263" t="s">
        <v>869</v>
      </c>
      <c r="D806" s="263" t="s">
        <v>92</v>
      </c>
      <c r="E806" s="263" t="s">
        <v>870</v>
      </c>
      <c r="F806" s="263" t="s">
        <v>871</v>
      </c>
      <c r="G806" s="263" t="s">
        <v>872</v>
      </c>
    </row>
    <row r="807" spans="1:7" x14ac:dyDescent="0.25">
      <c r="A807" s="263">
        <v>48310199</v>
      </c>
      <c r="B807" s="263" t="s">
        <v>1701</v>
      </c>
      <c r="C807" s="263" t="s">
        <v>869</v>
      </c>
      <c r="D807" s="263" t="s">
        <v>92</v>
      </c>
      <c r="E807" s="263" t="s">
        <v>1075</v>
      </c>
      <c r="F807" s="263" t="s">
        <v>1702</v>
      </c>
      <c r="G807" s="263" t="s">
        <v>872</v>
      </c>
    </row>
    <row r="808" spans="1:7" x14ac:dyDescent="0.25">
      <c r="A808" s="263">
        <v>48320199</v>
      </c>
      <c r="B808" s="263" t="s">
        <v>1703</v>
      </c>
      <c r="C808" s="263" t="s">
        <v>869</v>
      </c>
      <c r="D808" s="263" t="s">
        <v>1615</v>
      </c>
      <c r="E808" s="263" t="s">
        <v>1615</v>
      </c>
      <c r="F808" s="263" t="s">
        <v>1704</v>
      </c>
      <c r="G808" s="263" t="s">
        <v>92</v>
      </c>
    </row>
    <row r="809" spans="1:7" x14ac:dyDescent="0.25">
      <c r="A809" s="263">
        <v>48350199</v>
      </c>
      <c r="B809" s="263" t="s">
        <v>1705</v>
      </c>
      <c r="C809" s="263" t="s">
        <v>869</v>
      </c>
      <c r="D809" s="263" t="s">
        <v>92</v>
      </c>
      <c r="E809" s="263" t="s">
        <v>921</v>
      </c>
      <c r="F809" s="263" t="s">
        <v>1706</v>
      </c>
      <c r="G809" s="263" t="s">
        <v>872</v>
      </c>
    </row>
    <row r="810" spans="1:7" x14ac:dyDescent="0.25">
      <c r="A810" s="263">
        <v>48360199</v>
      </c>
      <c r="B810" s="263" t="s">
        <v>1707</v>
      </c>
      <c r="C810" s="263" t="s">
        <v>869</v>
      </c>
      <c r="D810" s="263" t="s">
        <v>92</v>
      </c>
      <c r="E810" s="263" t="s">
        <v>795</v>
      </c>
      <c r="F810" s="263" t="s">
        <v>1708</v>
      </c>
      <c r="G810" s="263" t="s">
        <v>872</v>
      </c>
    </row>
    <row r="811" spans="1:7" x14ac:dyDescent="0.25">
      <c r="A811" s="263">
        <v>48370101</v>
      </c>
      <c r="B811" s="263" t="s">
        <v>1709</v>
      </c>
      <c r="C811" s="263" t="s">
        <v>869</v>
      </c>
      <c r="D811" s="263" t="s">
        <v>1710</v>
      </c>
      <c r="E811" s="263" t="s">
        <v>921</v>
      </c>
      <c r="F811" s="263" t="s">
        <v>1711</v>
      </c>
      <c r="G811" s="263" t="s">
        <v>92</v>
      </c>
    </row>
    <row r="812" spans="1:7" x14ac:dyDescent="0.25">
      <c r="A812" s="263">
        <v>48420198</v>
      </c>
      <c r="B812" s="683" t="s">
        <v>1712</v>
      </c>
      <c r="C812" s="263" t="s">
        <v>869</v>
      </c>
      <c r="D812" s="263" t="s">
        <v>92</v>
      </c>
      <c r="E812" s="263" t="s">
        <v>921</v>
      </c>
      <c r="F812" s="263" t="s">
        <v>141</v>
      </c>
      <c r="G812" s="263" t="s">
        <v>92</v>
      </c>
    </row>
    <row r="813" spans="1:7" x14ac:dyDescent="0.25">
      <c r="A813" s="263">
        <v>48420199</v>
      </c>
      <c r="B813" s="263" t="s">
        <v>1713</v>
      </c>
      <c r="C813" s="263" t="s">
        <v>869</v>
      </c>
      <c r="D813" s="263" t="s">
        <v>92</v>
      </c>
      <c r="E813" s="263" t="s">
        <v>921</v>
      </c>
      <c r="F813" s="263" t="s">
        <v>141</v>
      </c>
      <c r="G813" s="263" t="s">
        <v>92</v>
      </c>
    </row>
    <row r="814" spans="1:7" x14ac:dyDescent="0.25">
      <c r="A814" s="263">
        <v>48430199</v>
      </c>
      <c r="B814" s="263" t="s">
        <v>648</v>
      </c>
      <c r="C814" s="263" t="s">
        <v>1714</v>
      </c>
      <c r="D814" s="263" t="s">
        <v>1714</v>
      </c>
    </row>
    <row r="815" spans="1:7" x14ac:dyDescent="0.25">
      <c r="A815" s="263">
        <v>48430299</v>
      </c>
      <c r="B815" s="263" t="s">
        <v>1715</v>
      </c>
      <c r="C815" s="263" t="s">
        <v>869</v>
      </c>
      <c r="D815" s="263" t="s">
        <v>92</v>
      </c>
      <c r="E815" s="263" t="s">
        <v>921</v>
      </c>
      <c r="F815" s="263" t="s">
        <v>1716</v>
      </c>
      <c r="G815" s="263" t="s">
        <v>872</v>
      </c>
    </row>
    <row r="816" spans="1:7" x14ac:dyDescent="0.25">
      <c r="A816" s="263">
        <v>48430399</v>
      </c>
      <c r="B816" s="263" t="s">
        <v>1717</v>
      </c>
      <c r="C816" s="263" t="s">
        <v>869</v>
      </c>
      <c r="D816" s="263" t="s">
        <v>92</v>
      </c>
      <c r="E816" s="263" t="s">
        <v>921</v>
      </c>
      <c r="F816" s="263" t="s">
        <v>1717</v>
      </c>
    </row>
    <row r="817" spans="1:7" x14ac:dyDescent="0.25">
      <c r="A817" s="263">
        <v>48440199</v>
      </c>
      <c r="B817" s="263" t="s">
        <v>1718</v>
      </c>
      <c r="C817" s="263" t="s">
        <v>869</v>
      </c>
      <c r="D817" s="263" t="s">
        <v>90</v>
      </c>
      <c r="E817" s="263" t="s">
        <v>921</v>
      </c>
      <c r="F817" s="263" t="s">
        <v>1719</v>
      </c>
      <c r="G817" s="263" t="s">
        <v>92</v>
      </c>
    </row>
    <row r="818" spans="1:7" x14ac:dyDescent="0.25">
      <c r="A818" s="263">
        <v>48440299</v>
      </c>
      <c r="B818" s="263" t="s">
        <v>1720</v>
      </c>
      <c r="C818" s="263" t="s">
        <v>869</v>
      </c>
      <c r="D818" s="263" t="s">
        <v>90</v>
      </c>
      <c r="E818" s="263" t="s">
        <v>921</v>
      </c>
      <c r="F818" s="263" t="s">
        <v>1721</v>
      </c>
    </row>
    <row r="819" spans="1:7" x14ac:dyDescent="0.25">
      <c r="A819" s="263">
        <v>48440399</v>
      </c>
      <c r="B819" s="263" t="s">
        <v>1722</v>
      </c>
      <c r="C819" s="263" t="s">
        <v>869</v>
      </c>
      <c r="D819" s="263" t="s">
        <v>1723</v>
      </c>
      <c r="E819" s="263" t="s">
        <v>921</v>
      </c>
      <c r="F819" s="263" t="s">
        <v>1724</v>
      </c>
    </row>
    <row r="820" spans="1:7" x14ac:dyDescent="0.25">
      <c r="A820" s="263">
        <v>48450199</v>
      </c>
      <c r="B820" s="263" t="s">
        <v>1725</v>
      </c>
      <c r="C820" s="263" t="s">
        <v>869</v>
      </c>
      <c r="D820" s="263" t="s">
        <v>92</v>
      </c>
      <c r="E820" s="263" t="s">
        <v>355</v>
      </c>
      <c r="F820" s="263" t="s">
        <v>1597</v>
      </c>
    </row>
    <row r="821" spans="1:7" x14ac:dyDescent="0.25">
      <c r="A821" s="263">
        <v>48460199</v>
      </c>
      <c r="B821" s="263" t="s">
        <v>1726</v>
      </c>
      <c r="C821" s="263" t="s">
        <v>869</v>
      </c>
      <c r="D821" s="263" t="s">
        <v>90</v>
      </c>
      <c r="E821" s="263" t="s">
        <v>921</v>
      </c>
      <c r="F821" s="263" t="s">
        <v>1543</v>
      </c>
      <c r="G821" s="263" t="s">
        <v>872</v>
      </c>
    </row>
    <row r="822" spans="1:7" x14ac:dyDescent="0.25">
      <c r="A822" s="263">
        <v>48480199</v>
      </c>
      <c r="B822" s="263" t="s">
        <v>1727</v>
      </c>
      <c r="C822" s="263" t="s">
        <v>869</v>
      </c>
      <c r="D822" s="263" t="s">
        <v>92</v>
      </c>
      <c r="E822" s="263" t="s">
        <v>921</v>
      </c>
      <c r="F822" s="263" t="s">
        <v>1728</v>
      </c>
      <c r="G822" s="263" t="s">
        <v>872</v>
      </c>
    </row>
    <row r="823" spans="1:7" x14ac:dyDescent="0.25">
      <c r="A823" s="263">
        <v>48500199</v>
      </c>
      <c r="B823" s="263" t="s">
        <v>1729</v>
      </c>
      <c r="C823" s="263" t="s">
        <v>869</v>
      </c>
      <c r="D823" s="263" t="s">
        <v>1730</v>
      </c>
      <c r="E823" s="263" t="s">
        <v>1075</v>
      </c>
      <c r="F823" s="263" t="s">
        <v>1730</v>
      </c>
      <c r="G823" s="263" t="s">
        <v>92</v>
      </c>
    </row>
    <row r="824" spans="1:7" x14ac:dyDescent="0.25">
      <c r="A824" s="263">
        <v>48510299</v>
      </c>
      <c r="B824" s="263" t="s">
        <v>650</v>
      </c>
      <c r="C824" s="263" t="s">
        <v>869</v>
      </c>
      <c r="D824" s="263" t="s">
        <v>126</v>
      </c>
      <c r="E824" s="263" t="s">
        <v>126</v>
      </c>
      <c r="F824" s="263" t="s">
        <v>126</v>
      </c>
    </row>
    <row r="825" spans="1:7" x14ac:dyDescent="0.25">
      <c r="A825" s="263">
        <v>48680101</v>
      </c>
      <c r="B825" s="263" t="s">
        <v>1731</v>
      </c>
      <c r="C825" s="263" t="s">
        <v>869</v>
      </c>
      <c r="D825" s="263" t="s">
        <v>874</v>
      </c>
      <c r="E825" s="263" t="s">
        <v>921</v>
      </c>
      <c r="F825" s="263" t="s">
        <v>1732</v>
      </c>
      <c r="G825" s="263" t="s">
        <v>872</v>
      </c>
    </row>
    <row r="826" spans="1:7" x14ac:dyDescent="0.25">
      <c r="A826" s="263">
        <v>48680199</v>
      </c>
      <c r="B826" s="263" t="s">
        <v>1733</v>
      </c>
      <c r="C826" s="263" t="s">
        <v>869</v>
      </c>
      <c r="D826" s="263" t="s">
        <v>874</v>
      </c>
      <c r="E826" s="263" t="s">
        <v>921</v>
      </c>
      <c r="F826" s="263" t="s">
        <v>320</v>
      </c>
      <c r="G826" s="263" t="s">
        <v>92</v>
      </c>
    </row>
    <row r="827" spans="1:7" x14ac:dyDescent="0.25">
      <c r="A827" s="263">
        <v>48690199</v>
      </c>
      <c r="B827" s="263" t="s">
        <v>1734</v>
      </c>
      <c r="C827" s="263" t="s">
        <v>869</v>
      </c>
      <c r="D827" s="263" t="s">
        <v>90</v>
      </c>
      <c r="E827" s="263" t="s">
        <v>921</v>
      </c>
      <c r="F827" s="263" t="s">
        <v>1506</v>
      </c>
      <c r="G827" s="263" t="s">
        <v>872</v>
      </c>
    </row>
    <row r="828" spans="1:7" x14ac:dyDescent="0.25">
      <c r="A828" s="263">
        <v>48900104</v>
      </c>
      <c r="B828" s="263" t="s">
        <v>1735</v>
      </c>
      <c r="C828" s="263" t="s">
        <v>869</v>
      </c>
      <c r="D828" s="263" t="s">
        <v>90</v>
      </c>
      <c r="E828" s="263" t="s">
        <v>782</v>
      </c>
      <c r="F828" s="263" t="s">
        <v>783</v>
      </c>
    </row>
    <row r="829" spans="1:7" x14ac:dyDescent="0.25">
      <c r="A829" s="263">
        <v>48900199</v>
      </c>
      <c r="B829" s="263" t="s">
        <v>1736</v>
      </c>
      <c r="C829" s="263" t="s">
        <v>869</v>
      </c>
      <c r="D829" s="263" t="s">
        <v>92</v>
      </c>
      <c r="E829" s="263" t="s">
        <v>782</v>
      </c>
      <c r="F829" s="263" t="s">
        <v>783</v>
      </c>
    </row>
    <row r="830" spans="1:7" x14ac:dyDescent="0.25">
      <c r="A830" s="263">
        <v>48900204</v>
      </c>
      <c r="B830" s="263" t="s">
        <v>1737</v>
      </c>
      <c r="C830" s="263" t="s">
        <v>869</v>
      </c>
      <c r="D830" s="263" t="s">
        <v>90</v>
      </c>
      <c r="E830" s="263" t="s">
        <v>782</v>
      </c>
      <c r="F830" s="263" t="s">
        <v>784</v>
      </c>
    </row>
    <row r="831" spans="1:7" x14ac:dyDescent="0.25">
      <c r="A831" s="263">
        <v>48900299</v>
      </c>
      <c r="B831" s="263" t="s">
        <v>1738</v>
      </c>
      <c r="C831" s="263" t="s">
        <v>869</v>
      </c>
      <c r="D831" s="263" t="s">
        <v>92</v>
      </c>
      <c r="E831" s="263" t="s">
        <v>782</v>
      </c>
      <c r="F831" s="263" t="s">
        <v>784</v>
      </c>
    </row>
    <row r="832" spans="1:7" x14ac:dyDescent="0.25">
      <c r="A832" s="263">
        <v>49100199</v>
      </c>
      <c r="B832" s="263" t="s">
        <v>1108</v>
      </c>
      <c r="C832" s="263" t="s">
        <v>869</v>
      </c>
      <c r="D832" s="263" t="s">
        <v>92</v>
      </c>
      <c r="E832" s="263" t="s">
        <v>921</v>
      </c>
      <c r="F832" s="263" t="s">
        <v>1739</v>
      </c>
    </row>
    <row r="833" spans="1:6" x14ac:dyDescent="0.25">
      <c r="A833" s="263">
        <v>49200199</v>
      </c>
      <c r="B833" s="263" t="s">
        <v>962</v>
      </c>
      <c r="C833" s="263" t="s">
        <v>869</v>
      </c>
      <c r="D833" s="263" t="s">
        <v>874</v>
      </c>
      <c r="E833" s="263" t="s">
        <v>781</v>
      </c>
      <c r="F833" s="263" t="s">
        <v>781</v>
      </c>
    </row>
    <row r="834" spans="1:6" x14ac:dyDescent="0.25">
      <c r="A834" s="263">
        <v>49300199</v>
      </c>
      <c r="B834" s="263" t="s">
        <v>1740</v>
      </c>
      <c r="C834" s="263" t="s">
        <v>869</v>
      </c>
      <c r="D834" s="263" t="s">
        <v>1741</v>
      </c>
      <c r="E834" s="263" t="s">
        <v>1742</v>
      </c>
      <c r="F834" s="263" t="s">
        <v>1742</v>
      </c>
    </row>
    <row r="835" spans="1:6" x14ac:dyDescent="0.25">
      <c r="A835" s="263">
        <v>49999999</v>
      </c>
      <c r="B835" s="263" t="s">
        <v>1743</v>
      </c>
      <c r="C835" s="263" t="s">
        <v>869</v>
      </c>
      <c r="D835" s="263" t="s">
        <v>1744</v>
      </c>
      <c r="E835" s="263" t="s">
        <v>1745</v>
      </c>
      <c r="F835" s="263" t="s">
        <v>1745</v>
      </c>
    </row>
    <row r="836" spans="1:6" x14ac:dyDescent="0.25">
      <c r="A836" s="263">
        <v>54090799</v>
      </c>
      <c r="B836" s="263" t="s">
        <v>1746</v>
      </c>
      <c r="C836" s="263" t="s">
        <v>869</v>
      </c>
      <c r="D836" s="263" t="s">
        <v>94</v>
      </c>
      <c r="E836" s="263" t="s">
        <v>355</v>
      </c>
      <c r="F836" s="263" t="s">
        <v>1747</v>
      </c>
    </row>
    <row r="837" spans="1:6" x14ac:dyDescent="0.25">
      <c r="A837" s="263">
        <v>57420699</v>
      </c>
      <c r="B837" s="288" t="s">
        <v>1748</v>
      </c>
      <c r="C837" s="263" t="s">
        <v>869</v>
      </c>
      <c r="D837" s="263" t="s">
        <v>910</v>
      </c>
      <c r="E837" s="263" t="s">
        <v>921</v>
      </c>
      <c r="F837" s="263" t="s">
        <v>1309</v>
      </c>
    </row>
    <row r="838" spans="1:6" x14ac:dyDescent="0.25">
      <c r="A838" s="263">
        <v>57700199</v>
      </c>
      <c r="B838" s="263" t="s">
        <v>1749</v>
      </c>
      <c r="C838" s="263" t="s">
        <v>869</v>
      </c>
      <c r="D838" s="263" t="s">
        <v>94</v>
      </c>
      <c r="E838" s="263" t="s">
        <v>921</v>
      </c>
      <c r="F838" s="263" t="s">
        <v>1750</v>
      </c>
    </row>
    <row r="839" spans="1:6" x14ac:dyDescent="0.25">
      <c r="A839" s="263">
        <v>57920199</v>
      </c>
      <c r="B839" s="263" t="s">
        <v>1751</v>
      </c>
      <c r="C839" s="263" t="s">
        <v>869</v>
      </c>
      <c r="D839" s="263" t="s">
        <v>94</v>
      </c>
      <c r="E839" s="263" t="s">
        <v>921</v>
      </c>
      <c r="F839" s="263" t="s">
        <v>1750</v>
      </c>
    </row>
    <row r="840" spans="1:6" x14ac:dyDescent="0.25">
      <c r="A840" s="263">
        <v>57950199</v>
      </c>
      <c r="B840" s="263" t="s">
        <v>1752</v>
      </c>
      <c r="C840" s="263" t="s">
        <v>869</v>
      </c>
      <c r="D840" s="263" t="s">
        <v>94</v>
      </c>
      <c r="E840" s="263" t="s">
        <v>921</v>
      </c>
      <c r="F840" s="263" t="s">
        <v>1753</v>
      </c>
    </row>
    <row r="841" spans="1:6" x14ac:dyDescent="0.25">
      <c r="A841" s="263">
        <v>57970199</v>
      </c>
      <c r="B841" s="263" t="s">
        <v>1754</v>
      </c>
      <c r="C841" s="263" t="s">
        <v>869</v>
      </c>
      <c r="D841" s="263" t="s">
        <v>94</v>
      </c>
      <c r="E841" s="263" t="s">
        <v>921</v>
      </c>
      <c r="F841" s="263" t="s">
        <v>1750</v>
      </c>
    </row>
    <row r="842" spans="1:6" x14ac:dyDescent="0.25">
      <c r="A842" s="263">
        <v>57980199</v>
      </c>
      <c r="B842" s="263" t="s">
        <v>1755</v>
      </c>
      <c r="C842" s="263" t="s">
        <v>869</v>
      </c>
      <c r="D842" s="263" t="s">
        <v>94</v>
      </c>
      <c r="E842" s="263" t="s">
        <v>921</v>
      </c>
      <c r="F842" s="263" t="s">
        <v>1750</v>
      </c>
    </row>
    <row r="843" spans="1:6" x14ac:dyDescent="0.25">
      <c r="A843" s="263">
        <v>58900199</v>
      </c>
      <c r="B843" s="263" t="s">
        <v>1756</v>
      </c>
      <c r="C843" s="263" t="s">
        <v>869</v>
      </c>
      <c r="D843" s="263" t="s">
        <v>94</v>
      </c>
      <c r="E843" s="263" t="s">
        <v>782</v>
      </c>
      <c r="F843" s="263" t="s">
        <v>783</v>
      </c>
    </row>
    <row r="844" spans="1:6" x14ac:dyDescent="0.25">
      <c r="A844" s="263">
        <v>58900299</v>
      </c>
      <c r="B844" s="263" t="s">
        <v>1757</v>
      </c>
      <c r="C844" s="263" t="s">
        <v>869</v>
      </c>
      <c r="D844" s="263" t="s">
        <v>94</v>
      </c>
      <c r="E844" s="263" t="s">
        <v>782</v>
      </c>
      <c r="F844" s="263" t="s">
        <v>784</v>
      </c>
    </row>
    <row r="845" spans="1:6" x14ac:dyDescent="0.25">
      <c r="A845" s="263">
        <v>64090899</v>
      </c>
      <c r="B845" s="263" t="s">
        <v>1758</v>
      </c>
      <c r="C845" s="263" t="s">
        <v>869</v>
      </c>
      <c r="D845" s="263" t="s">
        <v>1759</v>
      </c>
      <c r="E845" s="263" t="s">
        <v>788</v>
      </c>
      <c r="F845" s="263" t="s">
        <v>1760</v>
      </c>
    </row>
    <row r="846" spans="1:6" x14ac:dyDescent="0.25">
      <c r="A846" s="263">
        <v>64420299</v>
      </c>
      <c r="B846" s="263" t="s">
        <v>1761</v>
      </c>
      <c r="C846" s="263" t="s">
        <v>869</v>
      </c>
      <c r="D846" s="263" t="s">
        <v>1759</v>
      </c>
      <c r="E846" s="263" t="s">
        <v>921</v>
      </c>
      <c r="F846" s="263" t="s">
        <v>1762</v>
      </c>
    </row>
    <row r="847" spans="1:6" x14ac:dyDescent="0.25">
      <c r="A847" s="263">
        <v>67000199</v>
      </c>
      <c r="B847" s="263" t="s">
        <v>885</v>
      </c>
      <c r="C847" s="263" t="s">
        <v>869</v>
      </c>
      <c r="D847" s="263" t="s">
        <v>1759</v>
      </c>
      <c r="E847" s="263" t="s">
        <v>1617</v>
      </c>
      <c r="F847" s="263" t="s">
        <v>886</v>
      </c>
    </row>
    <row r="848" spans="1:6" x14ac:dyDescent="0.25">
      <c r="A848" s="263">
        <v>67020199</v>
      </c>
      <c r="B848" s="263" t="s">
        <v>887</v>
      </c>
      <c r="C848" s="263" t="s">
        <v>869</v>
      </c>
      <c r="D848" s="263" t="s">
        <v>1759</v>
      </c>
      <c r="E848" s="263" t="s">
        <v>1617</v>
      </c>
      <c r="F848" s="263" t="s">
        <v>816</v>
      </c>
    </row>
    <row r="849" spans="1:7" x14ac:dyDescent="0.25">
      <c r="A849" s="263">
        <v>67030199</v>
      </c>
      <c r="B849" s="263" t="s">
        <v>888</v>
      </c>
      <c r="C849" s="263" t="s">
        <v>869</v>
      </c>
      <c r="D849" s="263" t="s">
        <v>1759</v>
      </c>
      <c r="E849" s="263" t="s">
        <v>1617</v>
      </c>
      <c r="F849" s="263" t="s">
        <v>817</v>
      </c>
    </row>
    <row r="850" spans="1:7" x14ac:dyDescent="0.25">
      <c r="A850" s="263">
        <v>67040199</v>
      </c>
      <c r="B850" s="263" t="s">
        <v>1623</v>
      </c>
      <c r="C850" s="263" t="s">
        <v>869</v>
      </c>
      <c r="D850" s="263" t="s">
        <v>1759</v>
      </c>
      <c r="E850" s="263" t="s">
        <v>1617</v>
      </c>
      <c r="F850" s="263" t="s">
        <v>1167</v>
      </c>
    </row>
    <row r="851" spans="1:7" x14ac:dyDescent="0.25">
      <c r="A851" s="263">
        <v>67160199</v>
      </c>
      <c r="B851" s="263" t="s">
        <v>1630</v>
      </c>
      <c r="C851" s="263" t="s">
        <v>869</v>
      </c>
      <c r="D851" s="263" t="s">
        <v>1759</v>
      </c>
      <c r="E851" s="263" t="s">
        <v>921</v>
      </c>
      <c r="F851" s="263" t="s">
        <v>352</v>
      </c>
    </row>
    <row r="852" spans="1:7" x14ac:dyDescent="0.25">
      <c r="A852" s="263">
        <v>67160299</v>
      </c>
      <c r="B852" s="263" t="s">
        <v>1763</v>
      </c>
      <c r="C852" s="263" t="s">
        <v>869</v>
      </c>
      <c r="D852" s="263" t="s">
        <v>1759</v>
      </c>
      <c r="E852" s="263" t="s">
        <v>921</v>
      </c>
      <c r="F852" s="263" t="s">
        <v>352</v>
      </c>
    </row>
    <row r="853" spans="1:7" x14ac:dyDescent="0.25">
      <c r="A853" s="263">
        <v>67170199</v>
      </c>
      <c r="B853" s="263" t="s">
        <v>1764</v>
      </c>
      <c r="C853" s="263" t="s">
        <v>869</v>
      </c>
      <c r="D853" s="263" t="s">
        <v>1759</v>
      </c>
      <c r="E853" s="263" t="s">
        <v>921</v>
      </c>
      <c r="F853" s="263" t="s">
        <v>999</v>
      </c>
    </row>
    <row r="854" spans="1:7" x14ac:dyDescent="0.25">
      <c r="A854" s="263">
        <v>67600199</v>
      </c>
      <c r="B854" s="263" t="s">
        <v>1765</v>
      </c>
      <c r="C854" s="263" t="s">
        <v>869</v>
      </c>
      <c r="D854" s="263" t="s">
        <v>1759</v>
      </c>
      <c r="E854" s="263" t="s">
        <v>921</v>
      </c>
      <c r="F854" s="263" t="s">
        <v>1762</v>
      </c>
    </row>
    <row r="855" spans="1:7" x14ac:dyDescent="0.25">
      <c r="A855" s="263">
        <v>67601099</v>
      </c>
      <c r="B855" s="263" t="s">
        <v>1766</v>
      </c>
      <c r="C855" s="263" t="s">
        <v>869</v>
      </c>
      <c r="D855" s="263" t="s">
        <v>1759</v>
      </c>
      <c r="E855" s="263" t="s">
        <v>921</v>
      </c>
      <c r="F855" s="263" t="s">
        <v>1767</v>
      </c>
    </row>
    <row r="856" spans="1:7" x14ac:dyDescent="0.25">
      <c r="A856" s="263">
        <v>67601199</v>
      </c>
      <c r="B856" s="263" t="s">
        <v>1768</v>
      </c>
      <c r="C856" s="263" t="s">
        <v>869</v>
      </c>
      <c r="D856" s="263" t="s">
        <v>1759</v>
      </c>
      <c r="E856" s="263" t="s">
        <v>921</v>
      </c>
      <c r="F856" s="263" t="s">
        <v>1769</v>
      </c>
    </row>
    <row r="857" spans="1:7" x14ac:dyDescent="0.25">
      <c r="A857" s="263">
        <v>68140199</v>
      </c>
      <c r="B857" s="263" t="s">
        <v>1770</v>
      </c>
      <c r="C857" s="263" t="s">
        <v>869</v>
      </c>
      <c r="D857" s="263" t="s">
        <v>1759</v>
      </c>
      <c r="E857" s="263" t="s">
        <v>921</v>
      </c>
      <c r="F857" s="263" t="s">
        <v>1771</v>
      </c>
    </row>
    <row r="858" spans="1:7" x14ac:dyDescent="0.25">
      <c r="A858" s="263">
        <v>68430199</v>
      </c>
      <c r="B858" s="263" t="s">
        <v>1772</v>
      </c>
      <c r="C858" s="263" t="s">
        <v>869</v>
      </c>
      <c r="D858" s="263" t="s">
        <v>1759</v>
      </c>
      <c r="E858" s="263" t="s">
        <v>921</v>
      </c>
      <c r="F858" s="263" t="s">
        <v>1773</v>
      </c>
    </row>
    <row r="859" spans="1:7" x14ac:dyDescent="0.25">
      <c r="A859" s="263">
        <v>68900199</v>
      </c>
      <c r="B859" s="263" t="s">
        <v>1774</v>
      </c>
      <c r="C859" s="263" t="s">
        <v>869</v>
      </c>
      <c r="D859" s="263" t="s">
        <v>1759</v>
      </c>
      <c r="E859" s="263" t="s">
        <v>782</v>
      </c>
      <c r="F859" s="263" t="s">
        <v>783</v>
      </c>
    </row>
    <row r="860" spans="1:7" x14ac:dyDescent="0.25">
      <c r="A860" s="263">
        <v>68900299</v>
      </c>
      <c r="B860" s="263" t="s">
        <v>1775</v>
      </c>
      <c r="C860" s="263" t="s">
        <v>869</v>
      </c>
      <c r="D860" s="263" t="s">
        <v>1759</v>
      </c>
      <c r="E860" s="263" t="s">
        <v>782</v>
      </c>
      <c r="F860" s="263" t="s">
        <v>784</v>
      </c>
    </row>
    <row r="861" spans="1:7" x14ac:dyDescent="0.25">
      <c r="A861" s="263">
        <v>74980199</v>
      </c>
      <c r="B861" s="263" t="s">
        <v>1776</v>
      </c>
      <c r="C861" s="263" t="s">
        <v>869</v>
      </c>
      <c r="D861" s="263" t="s">
        <v>92</v>
      </c>
      <c r="E861" s="263" t="s">
        <v>795</v>
      </c>
      <c r="F861" s="263" t="s">
        <v>983</v>
      </c>
      <c r="G861" s="263" t="s">
        <v>92</v>
      </c>
    </row>
    <row r="862" spans="1:7" x14ac:dyDescent="0.25">
      <c r="A862" s="263">
        <v>77422099</v>
      </c>
      <c r="B862" s="263" t="s">
        <v>1777</v>
      </c>
      <c r="C862" s="263" t="s">
        <v>869</v>
      </c>
      <c r="D862" s="263" t="s">
        <v>1773</v>
      </c>
      <c r="E862" s="263" t="s">
        <v>795</v>
      </c>
      <c r="F862" s="263" t="s">
        <v>345</v>
      </c>
    </row>
    <row r="863" spans="1:7" x14ac:dyDescent="0.25">
      <c r="A863" s="264">
        <v>84050174</v>
      </c>
      <c r="B863" s="264" t="s">
        <v>1778</v>
      </c>
      <c r="C863" s="264" t="s">
        <v>869</v>
      </c>
      <c r="D863" s="264" t="s">
        <v>45</v>
      </c>
      <c r="E863" s="264" t="s">
        <v>795</v>
      </c>
      <c r="F863" s="267" t="s">
        <v>1779</v>
      </c>
    </row>
    <row r="864" spans="1:7" x14ac:dyDescent="0.25">
      <c r="A864" s="264">
        <v>84050175</v>
      </c>
      <c r="B864" s="264" t="s">
        <v>1780</v>
      </c>
      <c r="C864" s="264" t="s">
        <v>869</v>
      </c>
      <c r="D864" s="264" t="s">
        <v>45</v>
      </c>
      <c r="E864" s="264" t="s">
        <v>795</v>
      </c>
      <c r="F864" s="267" t="s">
        <v>1779</v>
      </c>
    </row>
    <row r="865" spans="1:6" x14ac:dyDescent="0.25">
      <c r="A865" s="264">
        <v>84050176</v>
      </c>
      <c r="B865" s="264" t="s">
        <v>1781</v>
      </c>
      <c r="C865" s="264" t="s">
        <v>869</v>
      </c>
      <c r="D865" s="264" t="s">
        <v>45</v>
      </c>
      <c r="E865" s="264" t="s">
        <v>795</v>
      </c>
      <c r="F865" s="267" t="s">
        <v>1779</v>
      </c>
    </row>
    <row r="866" spans="1:6" x14ac:dyDescent="0.25">
      <c r="A866" s="264">
        <v>84050275</v>
      </c>
      <c r="B866" s="264" t="s">
        <v>1782</v>
      </c>
      <c r="C866" s="264" t="s">
        <v>869</v>
      </c>
      <c r="D866" s="264" t="s">
        <v>45</v>
      </c>
      <c r="E866" s="264" t="s">
        <v>795</v>
      </c>
      <c r="F866" s="264" t="s">
        <v>1783</v>
      </c>
    </row>
    <row r="867" spans="1:6" x14ac:dyDescent="0.25">
      <c r="A867" s="264">
        <v>84050276</v>
      </c>
      <c r="B867" s="264" t="s">
        <v>1782</v>
      </c>
      <c r="C867" s="264" t="s">
        <v>869</v>
      </c>
      <c r="D867" s="264" t="s">
        <v>45</v>
      </c>
      <c r="E867" s="264" t="s">
        <v>795</v>
      </c>
      <c r="F867" s="264" t="s">
        <v>1783</v>
      </c>
    </row>
    <row r="868" spans="1:6" x14ac:dyDescent="0.25">
      <c r="A868" s="264">
        <v>84050374</v>
      </c>
      <c r="B868" s="264" t="s">
        <v>1784</v>
      </c>
      <c r="C868" s="264" t="s">
        <v>869</v>
      </c>
      <c r="D868" s="264" t="s">
        <v>45</v>
      </c>
      <c r="E868" s="264" t="s">
        <v>795</v>
      </c>
      <c r="F868" s="267" t="s">
        <v>1785</v>
      </c>
    </row>
    <row r="869" spans="1:6" x14ac:dyDescent="0.25">
      <c r="A869" s="264">
        <v>84050375</v>
      </c>
      <c r="B869" s="264" t="s">
        <v>1786</v>
      </c>
      <c r="C869" s="264" t="s">
        <v>869</v>
      </c>
      <c r="D869" s="264" t="s">
        <v>45</v>
      </c>
      <c r="E869" s="264" t="s">
        <v>795</v>
      </c>
      <c r="F869" s="290" t="s">
        <v>1785</v>
      </c>
    </row>
    <row r="870" spans="1:6" x14ac:dyDescent="0.25">
      <c r="A870" s="264">
        <v>84050376</v>
      </c>
      <c r="B870" s="264" t="s">
        <v>1787</v>
      </c>
      <c r="C870" s="264" t="s">
        <v>869</v>
      </c>
      <c r="D870" s="264" t="s">
        <v>45</v>
      </c>
      <c r="E870" s="264" t="s">
        <v>795</v>
      </c>
      <c r="F870" s="264" t="s">
        <v>1783</v>
      </c>
    </row>
    <row r="871" spans="1:6" x14ac:dyDescent="0.25">
      <c r="A871" s="264">
        <v>84050474</v>
      </c>
      <c r="B871" s="264" t="s">
        <v>1788</v>
      </c>
      <c r="C871" s="264" t="s">
        <v>869</v>
      </c>
      <c r="D871" s="264" t="s">
        <v>45</v>
      </c>
      <c r="E871" s="264" t="s">
        <v>795</v>
      </c>
      <c r="F871" s="264" t="s">
        <v>1783</v>
      </c>
    </row>
    <row r="872" spans="1:6" x14ac:dyDescent="0.25">
      <c r="A872" s="264">
        <v>84050475</v>
      </c>
      <c r="B872" s="264" t="s">
        <v>1786</v>
      </c>
      <c r="C872" s="264" t="s">
        <v>869</v>
      </c>
      <c r="D872" s="264" t="s">
        <v>45</v>
      </c>
      <c r="E872" s="264" t="s">
        <v>795</v>
      </c>
      <c r="F872" s="264" t="s">
        <v>1783</v>
      </c>
    </row>
    <row r="873" spans="1:6" x14ac:dyDescent="0.25">
      <c r="A873" s="264">
        <v>84050475</v>
      </c>
      <c r="B873" s="264" t="s">
        <v>1789</v>
      </c>
      <c r="C873" s="264" t="s">
        <v>869</v>
      </c>
      <c r="D873" s="264" t="s">
        <v>45</v>
      </c>
      <c r="E873" s="264" t="s">
        <v>795</v>
      </c>
      <c r="F873" s="264" t="s">
        <v>1783</v>
      </c>
    </row>
    <row r="874" spans="1:6" x14ac:dyDescent="0.25">
      <c r="A874" s="264">
        <v>84050476</v>
      </c>
      <c r="B874" s="264" t="s">
        <v>1790</v>
      </c>
      <c r="C874" s="264" t="s">
        <v>869</v>
      </c>
      <c r="D874" s="264" t="s">
        <v>45</v>
      </c>
      <c r="E874" s="264" t="s">
        <v>795</v>
      </c>
      <c r="F874" s="264" t="s">
        <v>1783</v>
      </c>
    </row>
    <row r="875" spans="1:6" x14ac:dyDescent="0.25">
      <c r="A875" s="264">
        <v>84050476</v>
      </c>
      <c r="B875" s="264" t="s">
        <v>1791</v>
      </c>
      <c r="C875" s="264" t="s">
        <v>869</v>
      </c>
      <c r="D875" s="264" t="s">
        <v>45</v>
      </c>
      <c r="E875" s="264" t="s">
        <v>795</v>
      </c>
      <c r="F875" s="264" t="s">
        <v>1783</v>
      </c>
    </row>
    <row r="876" spans="1:6" x14ac:dyDescent="0.25">
      <c r="A876" s="264">
        <v>84050574</v>
      </c>
      <c r="B876" s="264" t="s">
        <v>1792</v>
      </c>
      <c r="C876" s="264" t="s">
        <v>869</v>
      </c>
      <c r="D876" s="264" t="s">
        <v>45</v>
      </c>
      <c r="E876" s="264" t="s">
        <v>795</v>
      </c>
      <c r="F876" s="264" t="s">
        <v>1783</v>
      </c>
    </row>
    <row r="877" spans="1:6" x14ac:dyDescent="0.25">
      <c r="A877" s="264">
        <v>84050575</v>
      </c>
      <c r="B877" s="264" t="s">
        <v>1793</v>
      </c>
      <c r="C877" s="264" t="s">
        <v>869</v>
      </c>
      <c r="D877" s="264" t="s">
        <v>45</v>
      </c>
      <c r="E877" s="264" t="s">
        <v>795</v>
      </c>
      <c r="F877" s="290" t="s">
        <v>1794</v>
      </c>
    </row>
    <row r="878" spans="1:6" x14ac:dyDescent="0.25">
      <c r="A878" s="264">
        <v>84050576</v>
      </c>
      <c r="B878" s="264" t="s">
        <v>1795</v>
      </c>
      <c r="C878" s="264" t="s">
        <v>869</v>
      </c>
      <c r="D878" s="264" t="s">
        <v>45</v>
      </c>
      <c r="E878" s="264" t="s">
        <v>795</v>
      </c>
      <c r="F878" s="264" t="s">
        <v>1783</v>
      </c>
    </row>
    <row r="879" spans="1:6" x14ac:dyDescent="0.25">
      <c r="A879" s="264">
        <v>84980174</v>
      </c>
      <c r="B879" s="264" t="s">
        <v>1796</v>
      </c>
      <c r="C879" s="264" t="s">
        <v>869</v>
      </c>
      <c r="D879" s="264" t="s">
        <v>45</v>
      </c>
      <c r="E879" s="264" t="s">
        <v>788</v>
      </c>
      <c r="F879" s="267" t="s">
        <v>1797</v>
      </c>
    </row>
    <row r="880" spans="1:6" x14ac:dyDescent="0.25">
      <c r="A880" s="264">
        <v>84980175</v>
      </c>
      <c r="B880" s="264" t="s">
        <v>1798</v>
      </c>
      <c r="C880" s="264" t="s">
        <v>869</v>
      </c>
      <c r="D880" s="264" t="s">
        <v>45</v>
      </c>
      <c r="E880" s="264" t="s">
        <v>788</v>
      </c>
      <c r="F880" s="267" t="s">
        <v>1797</v>
      </c>
    </row>
    <row r="881" spans="1:6" x14ac:dyDescent="0.25">
      <c r="A881" s="264">
        <v>84980176</v>
      </c>
      <c r="B881" s="264" t="s">
        <v>1799</v>
      </c>
      <c r="C881" s="264" t="s">
        <v>869</v>
      </c>
      <c r="D881" s="264" t="s">
        <v>45</v>
      </c>
      <c r="E881" s="264" t="s">
        <v>795</v>
      </c>
      <c r="F881" s="264" t="s">
        <v>1783</v>
      </c>
    </row>
    <row r="882" spans="1:6" x14ac:dyDescent="0.25">
      <c r="A882" s="264">
        <v>87000199</v>
      </c>
      <c r="B882" s="264" t="s">
        <v>349</v>
      </c>
      <c r="C882" s="264" t="s">
        <v>869</v>
      </c>
      <c r="D882" s="264" t="s">
        <v>45</v>
      </c>
      <c r="E882" s="264" t="s">
        <v>53</v>
      </c>
      <c r="F882" s="264" t="s">
        <v>886</v>
      </c>
    </row>
    <row r="883" spans="1:6" x14ac:dyDescent="0.25">
      <c r="A883" s="264">
        <v>87020199</v>
      </c>
      <c r="B883" s="264" t="s">
        <v>1800</v>
      </c>
      <c r="C883" s="264" t="s">
        <v>869</v>
      </c>
      <c r="D883" s="264" t="s">
        <v>45</v>
      </c>
      <c r="E883" s="264" t="s">
        <v>53</v>
      </c>
      <c r="F883" s="264" t="s">
        <v>816</v>
      </c>
    </row>
    <row r="884" spans="1:6" x14ac:dyDescent="0.25">
      <c r="A884" s="264">
        <v>87030199</v>
      </c>
      <c r="B884" s="264" t="s">
        <v>1801</v>
      </c>
      <c r="C884" s="264" t="s">
        <v>869</v>
      </c>
      <c r="D884" s="264" t="s">
        <v>45</v>
      </c>
      <c r="E884" s="264" t="s">
        <v>53</v>
      </c>
      <c r="F884" s="264" t="s">
        <v>817</v>
      </c>
    </row>
    <row r="885" spans="1:6" x14ac:dyDescent="0.25">
      <c r="A885" s="264">
        <v>87060199</v>
      </c>
      <c r="B885" s="264" t="s">
        <v>990</v>
      </c>
      <c r="C885" s="264" t="s">
        <v>869</v>
      </c>
      <c r="D885" s="264" t="s">
        <v>45</v>
      </c>
      <c r="E885" s="264" t="s">
        <v>921</v>
      </c>
      <c r="F885" s="264" t="s">
        <v>990</v>
      </c>
    </row>
    <row r="886" spans="1:6" x14ac:dyDescent="0.25">
      <c r="A886" s="264">
        <v>87110174</v>
      </c>
      <c r="B886" s="264" t="s">
        <v>1802</v>
      </c>
      <c r="C886" s="264" t="s">
        <v>869</v>
      </c>
      <c r="D886" s="264" t="s">
        <v>45</v>
      </c>
      <c r="E886" s="264" t="s">
        <v>755</v>
      </c>
      <c r="F886" s="264" t="s">
        <v>341</v>
      </c>
    </row>
    <row r="887" spans="1:6" x14ac:dyDescent="0.25">
      <c r="A887" s="264">
        <v>87110175</v>
      </c>
      <c r="B887" s="264" t="s">
        <v>1803</v>
      </c>
      <c r="C887" s="264" t="s">
        <v>869</v>
      </c>
      <c r="D887" s="264" t="s">
        <v>45</v>
      </c>
      <c r="E887" s="264" t="s">
        <v>755</v>
      </c>
      <c r="F887" s="264" t="s">
        <v>341</v>
      </c>
    </row>
    <row r="888" spans="1:6" x14ac:dyDescent="0.25">
      <c r="A888" s="264">
        <v>87120174</v>
      </c>
      <c r="B888" s="264" t="s">
        <v>1804</v>
      </c>
      <c r="C888" s="264" t="s">
        <v>869</v>
      </c>
      <c r="D888" s="264" t="s">
        <v>45</v>
      </c>
      <c r="E888" s="264" t="s">
        <v>755</v>
      </c>
      <c r="F888" s="264" t="s">
        <v>342</v>
      </c>
    </row>
    <row r="889" spans="1:6" x14ac:dyDescent="0.25">
      <c r="A889" s="264">
        <v>87120175</v>
      </c>
      <c r="B889" s="264" t="s">
        <v>1805</v>
      </c>
      <c r="C889" s="264" t="s">
        <v>869</v>
      </c>
      <c r="D889" s="264" t="s">
        <v>45</v>
      </c>
      <c r="E889" s="264" t="s">
        <v>755</v>
      </c>
      <c r="F889" s="264" t="s">
        <v>342</v>
      </c>
    </row>
    <row r="890" spans="1:6" x14ac:dyDescent="0.25">
      <c r="A890" s="264">
        <v>87130275</v>
      </c>
      <c r="B890" s="264" t="s">
        <v>1806</v>
      </c>
      <c r="C890" s="264" t="s">
        <v>869</v>
      </c>
      <c r="D890" s="264" t="s">
        <v>45</v>
      </c>
      <c r="E890" s="264" t="s">
        <v>921</v>
      </c>
      <c r="F890" s="264" t="s">
        <v>1806</v>
      </c>
    </row>
    <row r="891" spans="1:6" x14ac:dyDescent="0.25">
      <c r="A891" s="264">
        <v>87140174</v>
      </c>
      <c r="B891" s="264" t="s">
        <v>1807</v>
      </c>
      <c r="C891" s="264" t="s">
        <v>869</v>
      </c>
      <c r="D891" s="264" t="s">
        <v>45</v>
      </c>
      <c r="E891" s="264" t="s">
        <v>755</v>
      </c>
      <c r="F891" s="264" t="s">
        <v>344</v>
      </c>
    </row>
    <row r="892" spans="1:6" x14ac:dyDescent="0.25">
      <c r="A892" s="264">
        <v>87140175</v>
      </c>
      <c r="B892" s="264" t="s">
        <v>1808</v>
      </c>
      <c r="C892" s="264" t="s">
        <v>869</v>
      </c>
      <c r="D892" s="264" t="s">
        <v>45</v>
      </c>
      <c r="E892" s="264" t="s">
        <v>755</v>
      </c>
      <c r="F892" s="264" t="s">
        <v>344</v>
      </c>
    </row>
    <row r="893" spans="1:6" x14ac:dyDescent="0.25">
      <c r="A893" s="264">
        <v>87160174</v>
      </c>
      <c r="B893" s="264" t="s">
        <v>1809</v>
      </c>
      <c r="C893" s="264" t="s">
        <v>869</v>
      </c>
      <c r="D893" s="264" t="s">
        <v>45</v>
      </c>
      <c r="E893" s="264" t="s">
        <v>921</v>
      </c>
      <c r="F893" s="264" t="s">
        <v>352</v>
      </c>
    </row>
    <row r="894" spans="1:6" x14ac:dyDescent="0.25">
      <c r="A894" s="264">
        <v>87160175</v>
      </c>
      <c r="B894" s="264" t="s">
        <v>1810</v>
      </c>
      <c r="C894" s="264" t="s">
        <v>869</v>
      </c>
      <c r="D894" s="264" t="s">
        <v>45</v>
      </c>
      <c r="E894" s="264" t="s">
        <v>921</v>
      </c>
      <c r="F894" s="264" t="s">
        <v>352</v>
      </c>
    </row>
    <row r="895" spans="1:6" x14ac:dyDescent="0.25">
      <c r="A895" s="264">
        <v>87330399</v>
      </c>
      <c r="B895" s="264" t="s">
        <v>680</v>
      </c>
      <c r="C895" s="264" t="s">
        <v>869</v>
      </c>
      <c r="D895" s="264" t="s">
        <v>45</v>
      </c>
      <c r="E895" s="264" t="s">
        <v>1811</v>
      </c>
      <c r="F895" s="264" t="s">
        <v>1273</v>
      </c>
    </row>
    <row r="896" spans="1:6" x14ac:dyDescent="0.25">
      <c r="A896" s="264">
        <v>87350299</v>
      </c>
      <c r="B896" s="264" t="s">
        <v>1812</v>
      </c>
      <c r="C896" s="264" t="s">
        <v>869</v>
      </c>
      <c r="D896" s="264" t="s">
        <v>45</v>
      </c>
      <c r="E896" s="264" t="s">
        <v>921</v>
      </c>
      <c r="F896" s="264" t="s">
        <v>1813</v>
      </c>
    </row>
    <row r="897" spans="1:6" x14ac:dyDescent="0.25">
      <c r="A897" s="264">
        <v>87380199</v>
      </c>
      <c r="B897" s="264" t="s">
        <v>1814</v>
      </c>
      <c r="C897" s="264" t="s">
        <v>869</v>
      </c>
      <c r="D897" s="264" t="s">
        <v>45</v>
      </c>
      <c r="E897" s="264" t="s">
        <v>1811</v>
      </c>
      <c r="F897" s="264" t="s">
        <v>1273</v>
      </c>
    </row>
    <row r="898" spans="1:6" x14ac:dyDescent="0.25">
      <c r="A898" s="264">
        <v>87380299</v>
      </c>
      <c r="B898" s="264" t="s">
        <v>1815</v>
      </c>
      <c r="C898" s="264" t="s">
        <v>869</v>
      </c>
      <c r="D898" s="264" t="s">
        <v>45</v>
      </c>
      <c r="E898" s="264" t="s">
        <v>1811</v>
      </c>
      <c r="F898" s="264" t="s">
        <v>1273</v>
      </c>
    </row>
    <row r="899" spans="1:6" x14ac:dyDescent="0.25">
      <c r="A899" s="264">
        <v>87380399</v>
      </c>
      <c r="B899" s="264" t="s">
        <v>1816</v>
      </c>
      <c r="C899" s="264" t="s">
        <v>869</v>
      </c>
      <c r="D899" s="264" t="s">
        <v>45</v>
      </c>
      <c r="E899" s="264" t="s">
        <v>1811</v>
      </c>
      <c r="F899" s="264" t="s">
        <v>1273</v>
      </c>
    </row>
    <row r="900" spans="1:6" x14ac:dyDescent="0.25">
      <c r="A900" s="264">
        <v>87420474</v>
      </c>
      <c r="B900" s="264" t="s">
        <v>1817</v>
      </c>
      <c r="C900" s="264" t="s">
        <v>869</v>
      </c>
      <c r="D900" s="264" t="s">
        <v>45</v>
      </c>
      <c r="E900" s="264" t="s">
        <v>921</v>
      </c>
      <c r="F900" s="264" t="s">
        <v>353</v>
      </c>
    </row>
    <row r="901" spans="1:6" x14ac:dyDescent="0.25">
      <c r="A901" s="264">
        <v>87420475</v>
      </c>
      <c r="B901" s="264" t="s">
        <v>1818</v>
      </c>
      <c r="C901" s="264" t="s">
        <v>869</v>
      </c>
      <c r="D901" s="264" t="s">
        <v>45</v>
      </c>
      <c r="E901" s="264" t="s">
        <v>921</v>
      </c>
      <c r="F901" s="264" t="s">
        <v>353</v>
      </c>
    </row>
    <row r="902" spans="1:6" x14ac:dyDescent="0.25">
      <c r="A902" s="281">
        <v>87420476</v>
      </c>
      <c r="B902" s="281" t="s">
        <v>1819</v>
      </c>
      <c r="C902" s="281" t="s">
        <v>869</v>
      </c>
      <c r="D902" s="281" t="s">
        <v>45</v>
      </c>
      <c r="E902" s="281" t="s">
        <v>921</v>
      </c>
      <c r="F902" s="281" t="s">
        <v>1820</v>
      </c>
    </row>
    <row r="903" spans="1:6" x14ac:dyDescent="0.25">
      <c r="A903" s="264">
        <v>87420699</v>
      </c>
      <c r="B903" s="264" t="s">
        <v>1821</v>
      </c>
      <c r="C903" s="264" t="s">
        <v>869</v>
      </c>
      <c r="D903" s="264" t="s">
        <v>45</v>
      </c>
      <c r="E903" s="264" t="s">
        <v>921</v>
      </c>
      <c r="F903" s="264" t="s">
        <v>353</v>
      </c>
    </row>
    <row r="904" spans="1:6" x14ac:dyDescent="0.25">
      <c r="A904" s="264">
        <v>87420699</v>
      </c>
      <c r="B904" s="264" t="s">
        <v>1821</v>
      </c>
      <c r="C904" s="264" t="s">
        <v>869</v>
      </c>
      <c r="D904" s="264" t="s">
        <v>45</v>
      </c>
      <c r="E904" s="264" t="s">
        <v>921</v>
      </c>
      <c r="F904" s="264" t="s">
        <v>353</v>
      </c>
    </row>
    <row r="905" spans="1:6" x14ac:dyDescent="0.25">
      <c r="A905" s="264">
        <v>87421374</v>
      </c>
      <c r="B905" s="264" t="s">
        <v>1822</v>
      </c>
      <c r="C905" s="264" t="s">
        <v>869</v>
      </c>
      <c r="D905" s="264" t="s">
        <v>45</v>
      </c>
      <c r="E905" s="264" t="s">
        <v>921</v>
      </c>
      <c r="F905" s="264" t="s">
        <v>353</v>
      </c>
    </row>
    <row r="906" spans="1:6" x14ac:dyDescent="0.25">
      <c r="A906" s="264">
        <v>87421375</v>
      </c>
      <c r="B906" s="264" t="s">
        <v>1823</v>
      </c>
      <c r="C906" s="264" t="s">
        <v>869</v>
      </c>
      <c r="D906" s="264" t="s">
        <v>45</v>
      </c>
      <c r="E906" s="264" t="s">
        <v>921</v>
      </c>
      <c r="F906" s="264" t="s">
        <v>353</v>
      </c>
    </row>
    <row r="907" spans="1:6" x14ac:dyDescent="0.25">
      <c r="A907" s="264">
        <v>87421499</v>
      </c>
      <c r="B907" s="264" t="s">
        <v>1824</v>
      </c>
      <c r="C907" s="264" t="s">
        <v>869</v>
      </c>
      <c r="D907" s="264" t="s">
        <v>45</v>
      </c>
      <c r="E907" s="264" t="s">
        <v>921</v>
      </c>
      <c r="F907" s="264" t="s">
        <v>353</v>
      </c>
    </row>
    <row r="908" spans="1:6" x14ac:dyDescent="0.25">
      <c r="A908" s="264">
        <v>87421774</v>
      </c>
      <c r="B908" s="264" t="s">
        <v>750</v>
      </c>
      <c r="C908" s="264" t="s">
        <v>869</v>
      </c>
      <c r="D908" s="264" t="s">
        <v>45</v>
      </c>
      <c r="E908" s="264" t="s">
        <v>921</v>
      </c>
      <c r="F908" s="264" t="s">
        <v>353</v>
      </c>
    </row>
    <row r="909" spans="1:6" x14ac:dyDescent="0.25">
      <c r="A909" s="264">
        <v>87421774</v>
      </c>
      <c r="B909" s="264" t="s">
        <v>750</v>
      </c>
      <c r="C909" s="264" t="s">
        <v>869</v>
      </c>
      <c r="D909" s="264" t="s">
        <v>45</v>
      </c>
      <c r="E909" s="264" t="s">
        <v>921</v>
      </c>
      <c r="F909" s="264" t="s">
        <v>353</v>
      </c>
    </row>
    <row r="910" spans="1:6" x14ac:dyDescent="0.25">
      <c r="A910" s="264">
        <v>87421775</v>
      </c>
      <c r="B910" s="264" t="s">
        <v>1825</v>
      </c>
      <c r="C910" s="264" t="s">
        <v>869</v>
      </c>
      <c r="D910" s="264" t="s">
        <v>45</v>
      </c>
      <c r="E910" s="264" t="s">
        <v>921</v>
      </c>
      <c r="F910" s="264" t="s">
        <v>353</v>
      </c>
    </row>
    <row r="911" spans="1:6" x14ac:dyDescent="0.25">
      <c r="A911" s="264">
        <v>87440499</v>
      </c>
      <c r="B911" s="264" t="s">
        <v>1066</v>
      </c>
      <c r="C911" s="264" t="s">
        <v>869</v>
      </c>
      <c r="D911" s="264" t="s">
        <v>45</v>
      </c>
      <c r="E911" s="264" t="s">
        <v>921</v>
      </c>
      <c r="F911" s="264" t="s">
        <v>1066</v>
      </c>
    </row>
    <row r="912" spans="1:6" x14ac:dyDescent="0.25">
      <c r="A912" s="264">
        <v>87450199</v>
      </c>
      <c r="B912" s="264" t="s">
        <v>945</v>
      </c>
      <c r="C912" s="264" t="s">
        <v>869</v>
      </c>
      <c r="D912" s="264" t="s">
        <v>45</v>
      </c>
      <c r="E912" s="264" t="s">
        <v>921</v>
      </c>
      <c r="F912" s="264" t="s">
        <v>945</v>
      </c>
    </row>
    <row r="913" spans="1:6" x14ac:dyDescent="0.25">
      <c r="A913" s="264">
        <v>88110199</v>
      </c>
      <c r="B913" s="264" t="s">
        <v>1826</v>
      </c>
      <c r="C913" s="264" t="s">
        <v>869</v>
      </c>
      <c r="D913" s="264" t="s">
        <v>45</v>
      </c>
      <c r="E913" s="264" t="s">
        <v>921</v>
      </c>
      <c r="F913" s="264" t="s">
        <v>1826</v>
      </c>
    </row>
    <row r="914" spans="1:6" x14ac:dyDescent="0.25">
      <c r="A914" s="264">
        <v>88140199</v>
      </c>
      <c r="B914" s="264" t="s">
        <v>1687</v>
      </c>
      <c r="C914" s="264" t="s">
        <v>869</v>
      </c>
      <c r="D914" s="264" t="s">
        <v>45</v>
      </c>
      <c r="E914" s="264" t="s">
        <v>921</v>
      </c>
      <c r="F914" s="267" t="s">
        <v>353</v>
      </c>
    </row>
    <row r="915" spans="1:6" x14ac:dyDescent="0.25">
      <c r="A915" s="264">
        <v>88190199</v>
      </c>
      <c r="B915" s="264" t="s">
        <v>822</v>
      </c>
      <c r="C915" s="264" t="s">
        <v>869</v>
      </c>
      <c r="D915" s="264" t="s">
        <v>45</v>
      </c>
      <c r="E915" s="264" t="s">
        <v>921</v>
      </c>
      <c r="F915" s="264" t="s">
        <v>822</v>
      </c>
    </row>
    <row r="916" spans="1:6" x14ac:dyDescent="0.25">
      <c r="A916" s="264">
        <v>88360199</v>
      </c>
      <c r="B916" s="264" t="s">
        <v>1827</v>
      </c>
      <c r="C916" s="264" t="s">
        <v>869</v>
      </c>
      <c r="D916" s="264" t="s">
        <v>45</v>
      </c>
      <c r="E916" s="264" t="s">
        <v>795</v>
      </c>
      <c r="F916" s="264" t="s">
        <v>1828</v>
      </c>
    </row>
    <row r="917" spans="1:6" x14ac:dyDescent="0.25">
      <c r="A917" s="264">
        <v>89100599</v>
      </c>
      <c r="B917" s="264" t="s">
        <v>1829</v>
      </c>
      <c r="C917" s="264" t="s">
        <v>869</v>
      </c>
      <c r="D917" s="264" t="s">
        <v>45</v>
      </c>
      <c r="E917" s="264" t="s">
        <v>921</v>
      </c>
      <c r="F917" s="264" t="s">
        <v>1829</v>
      </c>
    </row>
    <row r="918" spans="1:6" x14ac:dyDescent="0.25">
      <c r="A918" s="264">
        <v>89100699</v>
      </c>
      <c r="B918" s="264" t="s">
        <v>1830</v>
      </c>
      <c r="C918" s="264" t="s">
        <v>869</v>
      </c>
      <c r="D918" s="264" t="s">
        <v>45</v>
      </c>
      <c r="E918" s="264" t="s">
        <v>921</v>
      </c>
      <c r="F918" s="264" t="s">
        <v>1830</v>
      </c>
    </row>
    <row r="919" spans="1:6" x14ac:dyDescent="0.25">
      <c r="A919" s="264">
        <v>89100799</v>
      </c>
      <c r="B919" s="264" t="s">
        <v>1831</v>
      </c>
      <c r="C919" s="264" t="s">
        <v>869</v>
      </c>
      <c r="D919" s="264" t="s">
        <v>45</v>
      </c>
      <c r="E919" s="264" t="s">
        <v>921</v>
      </c>
      <c r="F919" s="264" t="s">
        <v>1831</v>
      </c>
    </row>
    <row r="920" spans="1:6" x14ac:dyDescent="0.25">
      <c r="A920" s="264">
        <v>89100899</v>
      </c>
      <c r="B920" s="264" t="s">
        <v>1832</v>
      </c>
      <c r="C920" s="264" t="s">
        <v>869</v>
      </c>
      <c r="D920" s="264" t="s">
        <v>45</v>
      </c>
      <c r="E920" s="264" t="s">
        <v>921</v>
      </c>
      <c r="F920" s="264" t="s">
        <v>1832</v>
      </c>
    </row>
    <row r="921" spans="1:6" x14ac:dyDescent="0.25">
      <c r="A921" s="263">
        <v>90020199</v>
      </c>
      <c r="B921" s="263" t="s">
        <v>1833</v>
      </c>
      <c r="C921" s="263" t="s">
        <v>1834</v>
      </c>
      <c r="D921" s="263" t="s">
        <v>1835</v>
      </c>
    </row>
    <row r="922" spans="1:6" x14ac:dyDescent="0.25">
      <c r="A922" s="263">
        <v>90030199</v>
      </c>
      <c r="B922" s="263" t="s">
        <v>1836</v>
      </c>
      <c r="C922" s="263" t="s">
        <v>1834</v>
      </c>
      <c r="D922" s="263" t="s">
        <v>1837</v>
      </c>
    </row>
    <row r="923" spans="1:6" x14ac:dyDescent="0.25">
      <c r="A923" s="263">
        <v>90040199</v>
      </c>
      <c r="B923" s="263" t="s">
        <v>1838</v>
      </c>
      <c r="C923" s="263" t="s">
        <v>1834</v>
      </c>
      <c r="D923" s="263" t="s">
        <v>1837</v>
      </c>
    </row>
    <row r="924" spans="1:6" x14ac:dyDescent="0.25">
      <c r="A924" s="263">
        <v>90050199</v>
      </c>
      <c r="B924" s="263" t="s">
        <v>1839</v>
      </c>
      <c r="C924" s="263" t="s">
        <v>1834</v>
      </c>
      <c r="D924" s="263" t="s">
        <v>1837</v>
      </c>
    </row>
    <row r="925" spans="1:6" x14ac:dyDescent="0.25">
      <c r="A925" s="263">
        <v>90060199</v>
      </c>
      <c r="B925" s="263" t="s">
        <v>1840</v>
      </c>
      <c r="C925" s="263" t="s">
        <v>1834</v>
      </c>
      <c r="D925" s="263" t="s">
        <v>1837</v>
      </c>
    </row>
    <row r="926" spans="1:6" x14ac:dyDescent="0.25">
      <c r="A926" s="263">
        <v>90070199</v>
      </c>
      <c r="B926" s="263" t="s">
        <v>1841</v>
      </c>
      <c r="C926" s="263" t="s">
        <v>1834</v>
      </c>
      <c r="D926" s="263" t="s">
        <v>1837</v>
      </c>
    </row>
    <row r="927" spans="1:6" x14ac:dyDescent="0.25">
      <c r="A927" s="263">
        <v>90080199</v>
      </c>
      <c r="B927" s="263" t="s">
        <v>1842</v>
      </c>
      <c r="C927" s="263" t="s">
        <v>1834</v>
      </c>
      <c r="D927" s="263" t="s">
        <v>1843</v>
      </c>
    </row>
    <row r="928" spans="1:6" x14ac:dyDescent="0.25">
      <c r="A928" s="263">
        <v>90120199</v>
      </c>
      <c r="B928" s="263" t="s">
        <v>1844</v>
      </c>
      <c r="C928" s="263" t="s">
        <v>1834</v>
      </c>
      <c r="D928" s="263" t="s">
        <v>1835</v>
      </c>
    </row>
    <row r="929" spans="1:4" x14ac:dyDescent="0.25">
      <c r="A929" s="263">
        <v>90180199</v>
      </c>
      <c r="B929" s="263" t="s">
        <v>1845</v>
      </c>
      <c r="C929" s="263" t="s">
        <v>1834</v>
      </c>
      <c r="D929" s="263" t="s">
        <v>1843</v>
      </c>
    </row>
    <row r="930" spans="1:4" x14ac:dyDescent="0.25">
      <c r="A930" s="263">
        <v>90220199</v>
      </c>
      <c r="B930" s="263" t="s">
        <v>1846</v>
      </c>
      <c r="C930" s="263" t="s">
        <v>1834</v>
      </c>
      <c r="D930" s="263" t="s">
        <v>1835</v>
      </c>
    </row>
    <row r="931" spans="1:4" x14ac:dyDescent="0.25">
      <c r="A931" s="263">
        <v>90230199</v>
      </c>
      <c r="B931" s="263" t="s">
        <v>1847</v>
      </c>
      <c r="C931" s="263" t="s">
        <v>1834</v>
      </c>
      <c r="D931" s="263" t="s">
        <v>1837</v>
      </c>
    </row>
    <row r="932" spans="1:4" x14ac:dyDescent="0.25">
      <c r="A932" s="263">
        <v>90240199</v>
      </c>
      <c r="B932" s="263" t="s">
        <v>1848</v>
      </c>
      <c r="C932" s="263" t="s">
        <v>1834</v>
      </c>
      <c r="D932" s="263" t="s">
        <v>1837</v>
      </c>
    </row>
    <row r="933" spans="1:4" x14ac:dyDescent="0.25">
      <c r="A933" s="263">
        <v>90250199</v>
      </c>
      <c r="B933" s="263" t="s">
        <v>1849</v>
      </c>
      <c r="C933" s="263" t="s">
        <v>1834</v>
      </c>
      <c r="D933" s="263" t="s">
        <v>1837</v>
      </c>
    </row>
    <row r="934" spans="1:4" x14ac:dyDescent="0.25">
      <c r="A934" s="263">
        <v>90260199</v>
      </c>
      <c r="B934" s="263" t="s">
        <v>1850</v>
      </c>
      <c r="C934" s="263" t="s">
        <v>1834</v>
      </c>
      <c r="D934" s="263" t="s">
        <v>1837</v>
      </c>
    </row>
    <row r="935" spans="1:4" x14ac:dyDescent="0.25">
      <c r="A935" s="263">
        <v>90270199</v>
      </c>
      <c r="B935" s="263" t="s">
        <v>1851</v>
      </c>
      <c r="C935" s="263" t="s">
        <v>1834</v>
      </c>
      <c r="D935" s="263" t="s">
        <v>1837</v>
      </c>
    </row>
    <row r="936" spans="1:4" x14ac:dyDescent="0.25">
      <c r="A936" s="263">
        <v>90280199</v>
      </c>
      <c r="B936" s="263" t="s">
        <v>1852</v>
      </c>
      <c r="C936" s="263" t="s">
        <v>1834</v>
      </c>
      <c r="D936" s="263" t="s">
        <v>1843</v>
      </c>
    </row>
    <row r="937" spans="1:4" x14ac:dyDescent="0.25">
      <c r="A937" s="263">
        <v>90290199</v>
      </c>
      <c r="B937" s="263" t="s">
        <v>1853</v>
      </c>
      <c r="C937" s="263" t="s">
        <v>1834</v>
      </c>
      <c r="D937" s="263" t="s">
        <v>1854</v>
      </c>
    </row>
    <row r="938" spans="1:4" x14ac:dyDescent="0.25">
      <c r="A938" s="263">
        <v>90330199</v>
      </c>
      <c r="B938" s="263" t="s">
        <v>1855</v>
      </c>
      <c r="C938" s="263" t="s">
        <v>1834</v>
      </c>
      <c r="D938" s="263" t="s">
        <v>1837</v>
      </c>
    </row>
    <row r="939" spans="1:4" x14ac:dyDescent="0.25">
      <c r="A939" s="263">
        <v>90340101</v>
      </c>
      <c r="B939" s="263" t="s">
        <v>1856</v>
      </c>
      <c r="C939" s="263" t="s">
        <v>1834</v>
      </c>
      <c r="D939" s="263" t="s">
        <v>1837</v>
      </c>
    </row>
    <row r="940" spans="1:4" x14ac:dyDescent="0.25">
      <c r="A940" s="263">
        <v>90340199</v>
      </c>
      <c r="B940" s="263" t="s">
        <v>1856</v>
      </c>
      <c r="C940" s="263" t="s">
        <v>1834</v>
      </c>
      <c r="D940" s="263" t="s">
        <v>1837</v>
      </c>
    </row>
    <row r="941" spans="1:4" x14ac:dyDescent="0.25">
      <c r="A941" s="263">
        <v>90350199</v>
      </c>
      <c r="B941" s="263" t="s">
        <v>1857</v>
      </c>
      <c r="C941" s="263" t="s">
        <v>1834</v>
      </c>
      <c r="D941" s="263" t="s">
        <v>1837</v>
      </c>
    </row>
    <row r="942" spans="1:4" x14ac:dyDescent="0.25">
      <c r="A942" s="263">
        <v>90360199</v>
      </c>
      <c r="B942" s="263" t="s">
        <v>1858</v>
      </c>
      <c r="C942" s="263" t="s">
        <v>1834</v>
      </c>
      <c r="D942" s="263" t="s">
        <v>1837</v>
      </c>
    </row>
    <row r="943" spans="1:4" x14ac:dyDescent="0.25">
      <c r="A943" s="263">
        <v>90370199</v>
      </c>
      <c r="B943" s="263" t="s">
        <v>1859</v>
      </c>
      <c r="C943" s="263" t="s">
        <v>1834</v>
      </c>
      <c r="D943" s="263" t="s">
        <v>1837</v>
      </c>
    </row>
    <row r="944" spans="1:4" x14ac:dyDescent="0.25">
      <c r="A944" s="263">
        <v>90420199</v>
      </c>
      <c r="B944" s="263" t="s">
        <v>1860</v>
      </c>
      <c r="C944" s="263" t="s">
        <v>1834</v>
      </c>
      <c r="D944" s="263" t="s">
        <v>1835</v>
      </c>
    </row>
    <row r="945" spans="1:4" x14ac:dyDescent="0.25">
      <c r="A945" s="263">
        <v>90430199</v>
      </c>
      <c r="B945" s="263" t="s">
        <v>1861</v>
      </c>
      <c r="C945" s="263" t="s">
        <v>1834</v>
      </c>
      <c r="D945" s="263" t="s">
        <v>1837</v>
      </c>
    </row>
    <row r="946" spans="1:4" x14ac:dyDescent="0.25">
      <c r="A946" s="263">
        <v>90440199</v>
      </c>
      <c r="B946" s="263" t="s">
        <v>1862</v>
      </c>
      <c r="C946" s="263" t="s">
        <v>1834</v>
      </c>
      <c r="D946" s="263" t="s">
        <v>1837</v>
      </c>
    </row>
    <row r="947" spans="1:4" x14ac:dyDescent="0.25">
      <c r="A947" s="263">
        <v>90450199</v>
      </c>
      <c r="B947" s="263" t="s">
        <v>1863</v>
      </c>
      <c r="C947" s="263" t="s">
        <v>1834</v>
      </c>
      <c r="D947" s="263" t="s">
        <v>1837</v>
      </c>
    </row>
    <row r="948" spans="1:4" x14ac:dyDescent="0.25">
      <c r="A948" s="263">
        <v>90460199</v>
      </c>
      <c r="B948" s="263" t="s">
        <v>1864</v>
      </c>
      <c r="C948" s="263" t="s">
        <v>1834</v>
      </c>
      <c r="D948" s="263" t="s">
        <v>1837</v>
      </c>
    </row>
    <row r="949" spans="1:4" x14ac:dyDescent="0.25">
      <c r="A949" s="263">
        <v>90470199</v>
      </c>
      <c r="B949" s="263" t="s">
        <v>1865</v>
      </c>
      <c r="C949" s="263" t="s">
        <v>1834</v>
      </c>
      <c r="D949" s="263" t="s">
        <v>1837</v>
      </c>
    </row>
    <row r="950" spans="1:4" x14ac:dyDescent="0.25">
      <c r="A950" s="263">
        <v>90480199</v>
      </c>
      <c r="B950" s="263" t="s">
        <v>1866</v>
      </c>
      <c r="C950" s="263" t="s">
        <v>1834</v>
      </c>
      <c r="D950" s="263" t="s">
        <v>1843</v>
      </c>
    </row>
    <row r="951" spans="1:4" x14ac:dyDescent="0.25">
      <c r="A951" s="263">
        <v>91050199</v>
      </c>
      <c r="B951" s="263" t="s">
        <v>1867</v>
      </c>
      <c r="C951" s="263" t="s">
        <v>1834</v>
      </c>
      <c r="D951" s="263" t="s">
        <v>1868</v>
      </c>
    </row>
    <row r="952" spans="1:4" x14ac:dyDescent="0.25">
      <c r="A952" s="263">
        <v>91050299</v>
      </c>
      <c r="B952" s="263" t="s">
        <v>1869</v>
      </c>
      <c r="C952" s="263" t="s">
        <v>1834</v>
      </c>
      <c r="D952" s="263" t="s">
        <v>1868</v>
      </c>
    </row>
    <row r="953" spans="1:4" x14ac:dyDescent="0.25">
      <c r="A953" s="263">
        <v>91050499</v>
      </c>
      <c r="B953" s="263" t="s">
        <v>1870</v>
      </c>
      <c r="C953" s="263" t="s">
        <v>1834</v>
      </c>
      <c r="D953" s="263" t="s">
        <v>1868</v>
      </c>
    </row>
    <row r="954" spans="1:4" x14ac:dyDescent="0.25">
      <c r="A954" s="263">
        <v>91050599</v>
      </c>
      <c r="B954" s="263" t="s">
        <v>1871</v>
      </c>
      <c r="C954" s="263" t="s">
        <v>1834</v>
      </c>
      <c r="D954" s="263" t="s">
        <v>1872</v>
      </c>
    </row>
    <row r="955" spans="1:4" x14ac:dyDescent="0.25">
      <c r="A955" s="263">
        <v>91050899</v>
      </c>
      <c r="B955" s="263" t="s">
        <v>1873</v>
      </c>
      <c r="C955" s="263" t="s">
        <v>1834</v>
      </c>
      <c r="D955" s="263" t="s">
        <v>1868</v>
      </c>
    </row>
    <row r="956" spans="1:4" x14ac:dyDescent="0.25">
      <c r="A956" s="263">
        <v>91051099</v>
      </c>
      <c r="B956" s="263" t="s">
        <v>1874</v>
      </c>
      <c r="C956" s="263" t="s">
        <v>1834</v>
      </c>
      <c r="D956" s="263" t="s">
        <v>1868</v>
      </c>
    </row>
    <row r="957" spans="1:4" x14ac:dyDescent="0.25">
      <c r="A957" s="263">
        <v>91100299</v>
      </c>
      <c r="B957" s="263" t="s">
        <v>1875</v>
      </c>
      <c r="C957" s="263" t="s">
        <v>1834</v>
      </c>
      <c r="D957" s="263" t="s">
        <v>1876</v>
      </c>
    </row>
    <row r="958" spans="1:4" x14ac:dyDescent="0.25">
      <c r="A958" s="263">
        <v>91100399</v>
      </c>
      <c r="B958" s="263" t="s">
        <v>1877</v>
      </c>
      <c r="C958" s="263" t="s">
        <v>1834</v>
      </c>
      <c r="D958" s="263" t="s">
        <v>1876</v>
      </c>
    </row>
    <row r="959" spans="1:4" x14ac:dyDescent="0.25">
      <c r="A959" s="263">
        <v>91150199</v>
      </c>
      <c r="B959" s="263" t="s">
        <v>1878</v>
      </c>
      <c r="C959" s="263" t="s">
        <v>1834</v>
      </c>
      <c r="D959" s="263" t="s">
        <v>1876</v>
      </c>
    </row>
    <row r="960" spans="1:4" x14ac:dyDescent="0.25">
      <c r="A960" s="263">
        <v>91160199</v>
      </c>
      <c r="B960" s="263" t="s">
        <v>1879</v>
      </c>
      <c r="C960" s="263" t="s">
        <v>1834</v>
      </c>
      <c r="D960" s="263" t="s">
        <v>1876</v>
      </c>
    </row>
    <row r="961" spans="1:4" x14ac:dyDescent="0.25">
      <c r="A961" s="263">
        <v>91170199</v>
      </c>
      <c r="B961" s="263" t="s">
        <v>1880</v>
      </c>
      <c r="C961" s="263" t="s">
        <v>1834</v>
      </c>
      <c r="D961" s="263" t="s">
        <v>1876</v>
      </c>
    </row>
    <row r="962" spans="1:4" x14ac:dyDescent="0.25">
      <c r="A962" s="263">
        <v>91920199</v>
      </c>
      <c r="B962" s="263" t="s">
        <v>1881</v>
      </c>
      <c r="C962" s="263" t="s">
        <v>1834</v>
      </c>
      <c r="D962" s="263" t="s">
        <v>1876</v>
      </c>
    </row>
    <row r="963" spans="1:4" x14ac:dyDescent="0.25">
      <c r="A963" s="263">
        <v>91960299</v>
      </c>
      <c r="B963" s="263" t="s">
        <v>1882</v>
      </c>
      <c r="C963" s="263" t="s">
        <v>1714</v>
      </c>
      <c r="D963" s="263" t="s">
        <v>1876</v>
      </c>
    </row>
    <row r="964" spans="1:4" x14ac:dyDescent="0.25">
      <c r="A964" s="263">
        <v>91970199</v>
      </c>
      <c r="B964" s="263" t="s">
        <v>1883</v>
      </c>
      <c r="C964" s="263" t="s">
        <v>1714</v>
      </c>
      <c r="D964" s="263" t="s">
        <v>1876</v>
      </c>
    </row>
    <row r="965" spans="1:4" x14ac:dyDescent="0.25">
      <c r="A965" s="263">
        <v>91990199</v>
      </c>
      <c r="B965" s="263" t="s">
        <v>1884</v>
      </c>
      <c r="C965" s="263" t="s">
        <v>1714</v>
      </c>
      <c r="D965" s="263" t="s">
        <v>1714</v>
      </c>
    </row>
    <row r="966" spans="1:4" x14ac:dyDescent="0.25">
      <c r="A966" s="263">
        <v>92000199</v>
      </c>
      <c r="B966" s="263" t="s">
        <v>1885</v>
      </c>
      <c r="C966" s="263" t="s">
        <v>1834</v>
      </c>
      <c r="D966" s="263" t="s">
        <v>1886</v>
      </c>
    </row>
    <row r="967" spans="1:4" x14ac:dyDescent="0.25">
      <c r="A967" s="263">
        <v>92000299</v>
      </c>
      <c r="B967" s="263" t="s">
        <v>1887</v>
      </c>
      <c r="C967" s="263" t="s">
        <v>1714</v>
      </c>
      <c r="D967" s="263" t="s">
        <v>1886</v>
      </c>
    </row>
    <row r="968" spans="1:4" x14ac:dyDescent="0.25">
      <c r="A968" s="263">
        <v>92000399</v>
      </c>
      <c r="B968" s="263" t="s">
        <v>1888</v>
      </c>
      <c r="C968" s="263" t="s">
        <v>1714</v>
      </c>
      <c r="D968" s="263" t="s">
        <v>1714</v>
      </c>
    </row>
    <row r="969" spans="1:4" x14ac:dyDescent="0.25">
      <c r="A969" s="263">
        <v>92000499</v>
      </c>
      <c r="B969" s="263" t="s">
        <v>1889</v>
      </c>
      <c r="C969" s="263" t="s">
        <v>1834</v>
      </c>
      <c r="D969" s="263" t="s">
        <v>1886</v>
      </c>
    </row>
    <row r="970" spans="1:4" x14ac:dyDescent="0.25">
      <c r="A970" s="263">
        <v>92000599</v>
      </c>
      <c r="B970" s="263" t="s">
        <v>1890</v>
      </c>
      <c r="C970" s="263" t="s">
        <v>1834</v>
      </c>
      <c r="D970" s="263" t="s">
        <v>1886</v>
      </c>
    </row>
    <row r="971" spans="1:4" x14ac:dyDescent="0.25">
      <c r="A971" s="263">
        <v>92000699</v>
      </c>
      <c r="B971" s="263" t="s">
        <v>1891</v>
      </c>
      <c r="C971" s="263" t="s">
        <v>1834</v>
      </c>
      <c r="D971" s="263" t="s">
        <v>1886</v>
      </c>
    </row>
    <row r="972" spans="1:4" x14ac:dyDescent="0.25">
      <c r="A972" s="263">
        <v>92000799</v>
      </c>
      <c r="B972" s="263" t="s">
        <v>1892</v>
      </c>
      <c r="C972" s="263" t="s">
        <v>1714</v>
      </c>
      <c r="D972" s="263" t="s">
        <v>1714</v>
      </c>
    </row>
    <row r="973" spans="1:4" x14ac:dyDescent="0.25">
      <c r="A973" s="263">
        <v>92000899</v>
      </c>
      <c r="B973" s="263" t="s">
        <v>707</v>
      </c>
      <c r="C973" s="263" t="s">
        <v>1834</v>
      </c>
      <c r="D973" s="263" t="s">
        <v>1886</v>
      </c>
    </row>
    <row r="974" spans="1:4" x14ac:dyDescent="0.25">
      <c r="A974" s="263">
        <v>92050199</v>
      </c>
      <c r="B974" s="263" t="s">
        <v>1893</v>
      </c>
      <c r="C974" s="263" t="s">
        <v>1834</v>
      </c>
      <c r="D974" s="263" t="s">
        <v>1876</v>
      </c>
    </row>
    <row r="975" spans="1:4" x14ac:dyDescent="0.25">
      <c r="A975" s="263">
        <v>92100199</v>
      </c>
      <c r="B975" s="263" t="s">
        <v>1894</v>
      </c>
      <c r="C975" s="263" t="s">
        <v>1834</v>
      </c>
      <c r="D975" s="263" t="s">
        <v>1886</v>
      </c>
    </row>
    <row r="976" spans="1:4" x14ac:dyDescent="0.25">
      <c r="A976" s="263">
        <v>92200199</v>
      </c>
      <c r="B976" s="263" t="s">
        <v>1895</v>
      </c>
      <c r="C976" s="263" t="s">
        <v>1834</v>
      </c>
      <c r="D976" s="263" t="s">
        <v>1886</v>
      </c>
    </row>
    <row r="977" spans="1:4" x14ac:dyDescent="0.25">
      <c r="A977" s="263">
        <v>92220199</v>
      </c>
      <c r="B977" s="263" t="s">
        <v>1896</v>
      </c>
      <c r="C977" s="263" t="s">
        <v>1834</v>
      </c>
      <c r="D977" s="263" t="s">
        <v>1876</v>
      </c>
    </row>
    <row r="978" spans="1:4" x14ac:dyDescent="0.25">
      <c r="A978" s="263">
        <v>92250199</v>
      </c>
      <c r="B978" s="263" t="s">
        <v>1897</v>
      </c>
      <c r="C978" s="263" t="s">
        <v>1834</v>
      </c>
      <c r="D978" s="263" t="s">
        <v>1886</v>
      </c>
    </row>
    <row r="979" spans="1:4" x14ac:dyDescent="0.25">
      <c r="A979" s="263">
        <v>92250299</v>
      </c>
      <c r="B979" s="263" t="s">
        <v>711</v>
      </c>
      <c r="C979" s="263" t="s">
        <v>1834</v>
      </c>
      <c r="D979" s="263" t="s">
        <v>1886</v>
      </c>
    </row>
    <row r="980" spans="1:4" x14ac:dyDescent="0.25">
      <c r="A980" s="263">
        <v>93000199</v>
      </c>
      <c r="B980" s="263" t="s">
        <v>1898</v>
      </c>
      <c r="C980" s="263" t="s">
        <v>1834</v>
      </c>
      <c r="D980" s="263" t="s">
        <v>1899</v>
      </c>
    </row>
    <row r="981" spans="1:4" x14ac:dyDescent="0.25">
      <c r="A981" s="263">
        <v>93050199</v>
      </c>
      <c r="B981" s="263" t="s">
        <v>1900</v>
      </c>
      <c r="C981" s="263" t="s">
        <v>1834</v>
      </c>
      <c r="D981" s="263" t="s">
        <v>1901</v>
      </c>
    </row>
    <row r="982" spans="1:4" x14ac:dyDescent="0.25">
      <c r="A982" s="263">
        <v>93100199</v>
      </c>
      <c r="B982" s="263" t="s">
        <v>1902</v>
      </c>
      <c r="C982" s="263" t="s">
        <v>1834</v>
      </c>
      <c r="D982" s="263" t="s">
        <v>1903</v>
      </c>
    </row>
    <row r="983" spans="1:4" x14ac:dyDescent="0.25">
      <c r="A983" s="263">
        <v>93105199</v>
      </c>
      <c r="B983" s="263" t="s">
        <v>1904</v>
      </c>
      <c r="C983" s="263" t="s">
        <v>1834</v>
      </c>
      <c r="D983" s="263" t="s">
        <v>1904</v>
      </c>
    </row>
    <row r="984" spans="1:4" x14ac:dyDescent="0.25">
      <c r="A984" s="263">
        <v>93105299</v>
      </c>
      <c r="B984" s="263" t="s">
        <v>1905</v>
      </c>
      <c r="C984" s="263" t="s">
        <v>1834</v>
      </c>
      <c r="D984" s="263" t="s">
        <v>1906</v>
      </c>
    </row>
    <row r="985" spans="1:4" x14ac:dyDescent="0.25">
      <c r="A985" s="263">
        <v>93150099</v>
      </c>
      <c r="B985" s="263" t="s">
        <v>1907</v>
      </c>
      <c r="C985" s="263" t="s">
        <v>1834</v>
      </c>
      <c r="D985" s="263" t="s">
        <v>1908</v>
      </c>
    </row>
    <row r="986" spans="1:4" x14ac:dyDescent="0.25">
      <c r="A986" s="263">
        <v>93150199</v>
      </c>
      <c r="B986" s="263" t="s">
        <v>1909</v>
      </c>
      <c r="C986" s="263" t="s">
        <v>1834</v>
      </c>
      <c r="D986" s="263" t="s">
        <v>1908</v>
      </c>
    </row>
    <row r="987" spans="1:4" x14ac:dyDescent="0.25">
      <c r="A987" s="263">
        <v>93150299</v>
      </c>
      <c r="B987" s="263" t="s">
        <v>1100</v>
      </c>
      <c r="C987" s="263" t="s">
        <v>1834</v>
      </c>
      <c r="D987" s="263" t="s">
        <v>1908</v>
      </c>
    </row>
    <row r="988" spans="1:4" x14ac:dyDescent="0.25">
      <c r="A988" s="263">
        <v>93150399</v>
      </c>
      <c r="B988" s="263" t="s">
        <v>1910</v>
      </c>
      <c r="C988" s="263" t="s">
        <v>1834</v>
      </c>
      <c r="D988" s="263" t="s">
        <v>1908</v>
      </c>
    </row>
    <row r="989" spans="1:4" x14ac:dyDescent="0.25">
      <c r="A989" s="263">
        <v>93150427</v>
      </c>
      <c r="B989" s="263" t="s">
        <v>1911</v>
      </c>
      <c r="C989" s="263" t="s">
        <v>1834</v>
      </c>
      <c r="D989" s="263" t="s">
        <v>1908</v>
      </c>
    </row>
    <row r="990" spans="1:4" x14ac:dyDescent="0.25">
      <c r="A990" s="263">
        <v>93150699</v>
      </c>
      <c r="B990" s="263" t="s">
        <v>1912</v>
      </c>
      <c r="C990" s="263" t="s">
        <v>1834</v>
      </c>
      <c r="D990" s="263" t="s">
        <v>1908</v>
      </c>
    </row>
    <row r="991" spans="1:4" x14ac:dyDescent="0.25">
      <c r="A991" s="263">
        <v>93150799</v>
      </c>
      <c r="B991" s="263" t="s">
        <v>1913</v>
      </c>
      <c r="C991" s="263" t="s">
        <v>1834</v>
      </c>
      <c r="D991" s="263" t="s">
        <v>1908</v>
      </c>
    </row>
    <row r="992" spans="1:4" x14ac:dyDescent="0.25">
      <c r="A992" s="263">
        <v>93150899</v>
      </c>
      <c r="B992" s="263" t="s">
        <v>1572</v>
      </c>
      <c r="C992" s="263" t="s">
        <v>1834</v>
      </c>
      <c r="D992" s="263" t="s">
        <v>1908</v>
      </c>
    </row>
    <row r="993" spans="1:6" x14ac:dyDescent="0.25">
      <c r="A993" s="263">
        <v>93150999</v>
      </c>
      <c r="B993" s="263" t="s">
        <v>1574</v>
      </c>
      <c r="C993" s="263" t="s">
        <v>1834</v>
      </c>
      <c r="D993" s="263" t="s">
        <v>1908</v>
      </c>
    </row>
    <row r="994" spans="1:6" x14ac:dyDescent="0.25">
      <c r="A994" s="263">
        <v>93151099</v>
      </c>
      <c r="B994" s="263" t="s">
        <v>1914</v>
      </c>
      <c r="C994" s="263" t="s">
        <v>1834</v>
      </c>
      <c r="D994" s="263" t="s">
        <v>1908</v>
      </c>
    </row>
    <row r="995" spans="1:6" x14ac:dyDescent="0.25">
      <c r="A995" s="263">
        <v>93151199</v>
      </c>
      <c r="B995" s="263" t="s">
        <v>1915</v>
      </c>
      <c r="C995" s="263" t="s">
        <v>1834</v>
      </c>
      <c r="D995" s="263" t="s">
        <v>1908</v>
      </c>
    </row>
    <row r="996" spans="1:6" x14ac:dyDescent="0.25">
      <c r="A996" s="263">
        <v>93151399</v>
      </c>
      <c r="B996" s="263" t="s">
        <v>1916</v>
      </c>
      <c r="C996" s="263" t="s">
        <v>1834</v>
      </c>
      <c r="D996" s="263" t="s">
        <v>1908</v>
      </c>
    </row>
    <row r="997" spans="1:6" x14ac:dyDescent="0.25">
      <c r="A997" s="263">
        <v>93151599</v>
      </c>
      <c r="B997" s="263" t="s">
        <v>1733</v>
      </c>
      <c r="C997" s="263" t="s">
        <v>1834</v>
      </c>
      <c r="D997" s="263" t="s">
        <v>1908</v>
      </c>
    </row>
    <row r="998" spans="1:6" x14ac:dyDescent="0.25">
      <c r="A998" s="263">
        <v>93151699</v>
      </c>
      <c r="B998" s="263" t="s">
        <v>1734</v>
      </c>
      <c r="C998" s="263" t="s">
        <v>1834</v>
      </c>
      <c r="D998" s="263" t="s">
        <v>1908</v>
      </c>
    </row>
    <row r="999" spans="1:6" x14ac:dyDescent="0.25">
      <c r="A999" s="263">
        <v>93151799</v>
      </c>
      <c r="B999" s="263" t="s">
        <v>1917</v>
      </c>
      <c r="C999" s="263" t="s">
        <v>1834</v>
      </c>
      <c r="D999" s="263" t="s">
        <v>1908</v>
      </c>
    </row>
    <row r="1000" spans="1:6" x14ac:dyDescent="0.25">
      <c r="A1000" s="263">
        <v>93151899</v>
      </c>
      <c r="B1000" s="263" t="s">
        <v>1918</v>
      </c>
      <c r="C1000" s="263" t="s">
        <v>1834</v>
      </c>
      <c r="D1000" s="263" t="s">
        <v>1908</v>
      </c>
    </row>
    <row r="1001" spans="1:6" x14ac:dyDescent="0.25">
      <c r="A1001" s="263">
        <v>93151999</v>
      </c>
      <c r="B1001" s="263" t="s">
        <v>1919</v>
      </c>
      <c r="C1001" s="263" t="s">
        <v>1834</v>
      </c>
      <c r="D1001" s="263" t="s">
        <v>1886</v>
      </c>
    </row>
    <row r="1002" spans="1:6" x14ac:dyDescent="0.25">
      <c r="A1002" s="263">
        <v>93152099</v>
      </c>
      <c r="B1002" s="263" t="s">
        <v>1920</v>
      </c>
      <c r="C1002" s="263" t="s">
        <v>1834</v>
      </c>
      <c r="D1002" s="263" t="s">
        <v>1886</v>
      </c>
    </row>
    <row r="1003" spans="1:6" x14ac:dyDescent="0.25">
      <c r="A1003" s="263">
        <v>93152199</v>
      </c>
      <c r="B1003" s="263" t="s">
        <v>1921</v>
      </c>
      <c r="C1003" s="263" t="s">
        <v>1834</v>
      </c>
      <c r="D1003" s="263" t="s">
        <v>1908</v>
      </c>
    </row>
    <row r="1004" spans="1:6" x14ac:dyDescent="0.25">
      <c r="A1004" s="263">
        <v>93152299</v>
      </c>
      <c r="B1004" s="263" t="s">
        <v>1622</v>
      </c>
      <c r="C1004" s="263" t="s">
        <v>1834</v>
      </c>
      <c r="D1004" s="263" t="s">
        <v>1908</v>
      </c>
    </row>
    <row r="1005" spans="1:6" x14ac:dyDescent="0.25">
      <c r="A1005" s="263">
        <v>93152399</v>
      </c>
      <c r="B1005" s="263" t="s">
        <v>1922</v>
      </c>
      <c r="C1005" s="263" t="s">
        <v>1834</v>
      </c>
      <c r="D1005" s="263" t="s">
        <v>1908</v>
      </c>
    </row>
    <row r="1006" spans="1:6" x14ac:dyDescent="0.25">
      <c r="A1006" s="263">
        <v>93152499</v>
      </c>
      <c r="B1006" s="263" t="s">
        <v>1923</v>
      </c>
      <c r="C1006" s="263" t="s">
        <v>1834</v>
      </c>
      <c r="D1006" s="263" t="s">
        <v>1886</v>
      </c>
    </row>
    <row r="1007" spans="1:6" x14ac:dyDescent="0.25">
      <c r="A1007" s="264">
        <v>93152699</v>
      </c>
      <c r="B1007" s="264" t="s">
        <v>1831</v>
      </c>
      <c r="C1007" s="264" t="s">
        <v>1834</v>
      </c>
      <c r="D1007" s="264"/>
      <c r="E1007" s="264" t="s">
        <v>1908</v>
      </c>
      <c r="F1007" s="264" t="s">
        <v>242</v>
      </c>
    </row>
    <row r="1008" spans="1:6" x14ac:dyDescent="0.25">
      <c r="A1008" s="264">
        <v>93152799</v>
      </c>
      <c r="B1008" s="264" t="s">
        <v>1924</v>
      </c>
      <c r="C1008" s="264" t="s">
        <v>1834</v>
      </c>
      <c r="D1008" s="264"/>
      <c r="E1008" s="264" t="s">
        <v>1908</v>
      </c>
      <c r="F1008" s="264" t="s">
        <v>242</v>
      </c>
    </row>
    <row r="1009" spans="1:6" x14ac:dyDescent="0.25">
      <c r="A1009" s="264">
        <v>93152899</v>
      </c>
      <c r="B1009" s="264" t="s">
        <v>1830</v>
      </c>
      <c r="C1009" s="264" t="s">
        <v>1834</v>
      </c>
      <c r="D1009" s="264"/>
      <c r="E1009" s="264" t="s">
        <v>1908</v>
      </c>
      <c r="F1009" s="264" t="s">
        <v>242</v>
      </c>
    </row>
    <row r="1010" spans="1:6" x14ac:dyDescent="0.25">
      <c r="A1010" s="264">
        <v>93152999</v>
      </c>
      <c r="B1010" s="264" t="s">
        <v>1925</v>
      </c>
      <c r="C1010" s="264" t="s">
        <v>1834</v>
      </c>
      <c r="D1010" s="264"/>
      <c r="E1010" s="264" t="s">
        <v>1908</v>
      </c>
      <c r="F1010" s="264" t="s">
        <v>242</v>
      </c>
    </row>
    <row r="1011" spans="1:6" x14ac:dyDescent="0.25">
      <c r="A1011" s="264">
        <v>93153099</v>
      </c>
      <c r="B1011" s="264" t="s">
        <v>1926</v>
      </c>
      <c r="C1011" s="264" t="s">
        <v>1834</v>
      </c>
      <c r="D1011" s="264"/>
      <c r="E1011" s="264" t="s">
        <v>1908</v>
      </c>
      <c r="F1011" s="264" t="s">
        <v>242</v>
      </c>
    </row>
    <row r="1012" spans="1:6" x14ac:dyDescent="0.25">
      <c r="A1012" s="263">
        <v>93200199</v>
      </c>
      <c r="B1012" s="263" t="s">
        <v>1927</v>
      </c>
      <c r="C1012" s="263" t="s">
        <v>1834</v>
      </c>
      <c r="D1012" s="263" t="s">
        <v>1928</v>
      </c>
    </row>
    <row r="1013" spans="1:6" x14ac:dyDescent="0.25">
      <c r="A1013" s="263">
        <v>93200399</v>
      </c>
      <c r="B1013" s="263" t="s">
        <v>1929</v>
      </c>
      <c r="C1013" s="263" t="s">
        <v>1714</v>
      </c>
      <c r="D1013" s="263" t="s">
        <v>1928</v>
      </c>
    </row>
    <row r="1014" spans="1:6" x14ac:dyDescent="0.25">
      <c r="A1014" s="263">
        <v>94100138</v>
      </c>
      <c r="B1014" s="263" t="s">
        <v>1930</v>
      </c>
      <c r="C1014" s="263" t="s">
        <v>1834</v>
      </c>
      <c r="D1014" s="263" t="s">
        <v>1876</v>
      </c>
    </row>
    <row r="1015" spans="1:6" x14ac:dyDescent="0.25">
      <c r="A1015" s="263">
        <v>94850199</v>
      </c>
      <c r="B1015" s="263" t="s">
        <v>1931</v>
      </c>
      <c r="C1015" s="263" t="s">
        <v>1714</v>
      </c>
      <c r="D1015" s="263" t="s">
        <v>1714</v>
      </c>
    </row>
    <row r="1016" spans="1:6" x14ac:dyDescent="0.25">
      <c r="A1016" s="263">
        <v>94980199</v>
      </c>
      <c r="B1016" s="263" t="s">
        <v>1932</v>
      </c>
      <c r="C1016" s="263" t="s">
        <v>1834</v>
      </c>
      <c r="D1016" s="263" t="s">
        <v>1886</v>
      </c>
    </row>
    <row r="1017" spans="1:6" x14ac:dyDescent="0.25">
      <c r="A1017" s="263">
        <v>94990199</v>
      </c>
      <c r="B1017" s="263" t="s">
        <v>1933</v>
      </c>
      <c r="C1017" s="263" t="s">
        <v>1714</v>
      </c>
      <c r="D1017" s="263" t="s">
        <v>1714</v>
      </c>
    </row>
    <row r="1018" spans="1:6" x14ac:dyDescent="0.25">
      <c r="A1018" s="263">
        <v>96000199</v>
      </c>
      <c r="B1018" s="263" t="s">
        <v>1934</v>
      </c>
      <c r="C1018" s="263" t="s">
        <v>1834</v>
      </c>
      <c r="D1018" s="263" t="s">
        <v>1935</v>
      </c>
    </row>
    <row r="1019" spans="1:6" x14ac:dyDescent="0.25">
      <c r="A1019" s="263">
        <v>98350199</v>
      </c>
      <c r="B1019" s="263" t="s">
        <v>1936</v>
      </c>
      <c r="C1019" s="263" t="s">
        <v>1714</v>
      </c>
      <c r="D1019" s="263" t="s">
        <v>1714</v>
      </c>
    </row>
    <row r="1020" spans="1:6" x14ac:dyDescent="0.25">
      <c r="A1020" s="263">
        <v>98360199</v>
      </c>
      <c r="B1020" s="263" t="s">
        <v>1937</v>
      </c>
      <c r="C1020" s="263" t="s">
        <v>1714</v>
      </c>
      <c r="D1020" s="263" t="s">
        <v>1714</v>
      </c>
    </row>
    <row r="1021" spans="1:6" x14ac:dyDescent="0.25">
      <c r="A1021" s="263">
        <v>98360199</v>
      </c>
      <c r="B1021" s="263" t="s">
        <v>1937</v>
      </c>
      <c r="C1021" s="263" t="s">
        <v>1834</v>
      </c>
      <c r="D1021" s="263" t="s">
        <v>1876</v>
      </c>
    </row>
    <row r="1022" spans="1:6" x14ac:dyDescent="0.25">
      <c r="A1022" s="263">
        <v>99999999</v>
      </c>
      <c r="B1022" s="263" t="s">
        <v>1938</v>
      </c>
      <c r="C1022" s="263" t="s">
        <v>1714</v>
      </c>
      <c r="D1022" s="263" t="s">
        <v>1714</v>
      </c>
      <c r="E1022" s="263" t="s">
        <v>1939</v>
      </c>
      <c r="F1022" s="263" t="s">
        <v>1939</v>
      </c>
    </row>
  </sheetData>
  <autoFilter ref="A1:J1018" xr:uid="{00000000-0009-0000-0000-000019000000}"/>
  <phoneticPr fontId="93" type="noConversion"/>
  <pageMargins left="0.75" right="0.75" top="1" bottom="1" header="0.5" footer="0.5"/>
  <pageSetup paperSize="9" scale="1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
    <pageSetUpPr fitToPage="1"/>
  </sheetPr>
  <dimension ref="A1:M26"/>
  <sheetViews>
    <sheetView topLeftCell="A4" zoomScale="70" zoomScaleNormal="70" workbookViewId="0">
      <selection activeCell="F28" sqref="F28"/>
    </sheetView>
  </sheetViews>
  <sheetFormatPr defaultColWidth="9.296875" defaultRowHeight="13" x14ac:dyDescent="0.3"/>
  <cols>
    <col min="1" max="1" width="48.19921875" style="6" customWidth="1"/>
    <col min="2" max="7" width="14.796875" style="6" hidden="1" customWidth="1"/>
    <col min="8" max="8" width="14.796875" style="6" customWidth="1"/>
    <col min="9" max="13" width="14.796875" style="6" hidden="1" customWidth="1"/>
    <col min="14" max="16384" width="9.296875" style="6"/>
  </cols>
  <sheetData>
    <row r="1" spans="1:13" ht="17.5" x14ac:dyDescent="0.35">
      <c r="A1" s="16" t="s">
        <v>1940</v>
      </c>
      <c r="B1" s="16"/>
      <c r="C1" s="16"/>
      <c r="D1" s="16"/>
      <c r="E1" s="16"/>
      <c r="F1" s="16"/>
      <c r="G1" s="16"/>
      <c r="H1" s="16"/>
      <c r="I1" s="16"/>
      <c r="J1" s="16"/>
      <c r="K1" s="16"/>
      <c r="L1" s="16"/>
      <c r="M1" s="16"/>
    </row>
    <row r="4" spans="1:13" x14ac:dyDescent="0.3">
      <c r="A4" s="163" t="s">
        <v>1941</v>
      </c>
      <c r="B4" s="166">
        <v>0</v>
      </c>
      <c r="C4" s="168">
        <v>5.0000000000000001E-3</v>
      </c>
      <c r="D4" s="166">
        <v>0.01</v>
      </c>
      <c r="E4" s="168">
        <v>1.4999999999999999E-2</v>
      </c>
      <c r="F4" s="166">
        <v>0.02</v>
      </c>
      <c r="G4" s="168">
        <v>2.5000000000000001E-2</v>
      </c>
      <c r="H4" s="170">
        <v>0</v>
      </c>
      <c r="I4" s="166">
        <v>0.03</v>
      </c>
      <c r="J4" s="169">
        <v>3.5000000000000003E-2</v>
      </c>
      <c r="K4" s="166">
        <v>0.04</v>
      </c>
      <c r="L4" s="168">
        <v>4.4999999999999998E-2</v>
      </c>
      <c r="M4" s="166">
        <v>0.05</v>
      </c>
    </row>
    <row r="5" spans="1:13" hidden="1" x14ac:dyDescent="0.3">
      <c r="A5" s="684"/>
      <c r="B5" s="685"/>
      <c r="C5" s="686"/>
      <c r="D5" s="685"/>
      <c r="E5" s="686"/>
      <c r="F5" s="685"/>
      <c r="G5" s="686"/>
      <c r="H5" s="687"/>
      <c r="I5" s="685"/>
      <c r="J5" s="686"/>
      <c r="K5" s="685"/>
      <c r="L5" s="686"/>
      <c r="M5" s="685"/>
    </row>
    <row r="6" spans="1:13" x14ac:dyDescent="0.3">
      <c r="A6" s="688"/>
      <c r="B6" s="689"/>
      <c r="C6" s="141"/>
      <c r="D6" s="689"/>
      <c r="E6" s="141"/>
      <c r="F6" s="689"/>
      <c r="G6" s="141"/>
      <c r="H6" s="690"/>
      <c r="I6" s="689"/>
      <c r="J6" s="141"/>
      <c r="K6" s="689"/>
      <c r="L6" s="141"/>
      <c r="M6" s="689"/>
    </row>
    <row r="7" spans="1:13" x14ac:dyDescent="0.3">
      <c r="A7" s="163" t="s">
        <v>1942</v>
      </c>
      <c r="B7" s="691">
        <f t="shared" ref="B7:M7" si="0">ROUND($H$23*(1+B$4),2)</f>
        <v>158.51</v>
      </c>
      <c r="C7" s="692">
        <f t="shared" si="0"/>
        <v>159.30000000000001</v>
      </c>
      <c r="D7" s="691">
        <f t="shared" si="0"/>
        <v>160.1</v>
      </c>
      <c r="E7" s="692">
        <f t="shared" si="0"/>
        <v>160.88999999999999</v>
      </c>
      <c r="F7" s="691">
        <f t="shared" si="0"/>
        <v>161.68</v>
      </c>
      <c r="G7" s="692">
        <f t="shared" si="0"/>
        <v>162.47</v>
      </c>
      <c r="H7" s="693">
        <v>158.51</v>
      </c>
      <c r="I7" s="691">
        <f t="shared" si="0"/>
        <v>163.27000000000001</v>
      </c>
      <c r="J7" s="694">
        <f t="shared" si="0"/>
        <v>164.06</v>
      </c>
      <c r="K7" s="691">
        <f t="shared" si="0"/>
        <v>164.85</v>
      </c>
      <c r="L7" s="692">
        <f t="shared" si="0"/>
        <v>165.64</v>
      </c>
      <c r="M7" s="691">
        <f t="shared" si="0"/>
        <v>166.44</v>
      </c>
    </row>
    <row r="8" spans="1:13" x14ac:dyDescent="0.3">
      <c r="A8" s="164"/>
      <c r="B8" s="695"/>
      <c r="C8" s="696"/>
      <c r="D8" s="695"/>
      <c r="E8" s="696"/>
      <c r="F8" s="695"/>
      <c r="G8" s="696"/>
      <c r="H8" s="697"/>
      <c r="I8" s="695"/>
      <c r="J8" s="696"/>
      <c r="K8" s="695"/>
      <c r="L8" s="696"/>
      <c r="M8" s="695"/>
    </row>
    <row r="9" spans="1:13" x14ac:dyDescent="0.3">
      <c r="A9" s="164" t="s">
        <v>1943</v>
      </c>
      <c r="B9" s="695">
        <f t="shared" ref="B9:M9" si="1">B7-$H$23</f>
        <v>0</v>
      </c>
      <c r="C9" s="696">
        <f t="shared" si="1"/>
        <v>0.79000000000002046</v>
      </c>
      <c r="D9" s="695">
        <f t="shared" si="1"/>
        <v>1.5900000000000034</v>
      </c>
      <c r="E9" s="696">
        <f t="shared" si="1"/>
        <v>2.3799999999999955</v>
      </c>
      <c r="F9" s="695">
        <f t="shared" si="1"/>
        <v>3.1700000000000159</v>
      </c>
      <c r="G9" s="696">
        <f t="shared" si="1"/>
        <v>3.960000000000008</v>
      </c>
      <c r="H9" s="697">
        <f t="shared" si="1"/>
        <v>0</v>
      </c>
      <c r="I9" s="695">
        <f t="shared" si="1"/>
        <v>4.7600000000000193</v>
      </c>
      <c r="J9" s="696">
        <f t="shared" si="1"/>
        <v>5.5500000000000114</v>
      </c>
      <c r="K9" s="695">
        <f t="shared" si="1"/>
        <v>6.3400000000000034</v>
      </c>
      <c r="L9" s="696">
        <f t="shared" si="1"/>
        <v>7.1299999999999955</v>
      </c>
      <c r="M9" s="695">
        <f t="shared" si="1"/>
        <v>7.9300000000000068</v>
      </c>
    </row>
    <row r="10" spans="1:13" x14ac:dyDescent="0.3">
      <c r="A10" s="164"/>
      <c r="B10" s="695"/>
      <c r="C10" s="696"/>
      <c r="D10" s="695"/>
      <c r="E10" s="696"/>
      <c r="F10" s="695"/>
      <c r="G10" s="696"/>
      <c r="H10" s="697"/>
      <c r="I10" s="695"/>
      <c r="J10" s="696"/>
      <c r="K10" s="695"/>
      <c r="L10" s="696"/>
      <c r="M10" s="695"/>
    </row>
    <row r="11" spans="1:13" x14ac:dyDescent="0.3">
      <c r="A11" s="164" t="s">
        <v>1944</v>
      </c>
      <c r="B11" s="698">
        <f t="shared" ref="B11:M11" si="2">B7*$H$21</f>
        <v>1130081.1939999999</v>
      </c>
      <c r="C11" s="699">
        <f t="shared" si="2"/>
        <v>1135713.42</v>
      </c>
      <c r="D11" s="698">
        <f t="shared" si="2"/>
        <v>1141416.94</v>
      </c>
      <c r="E11" s="699">
        <f t="shared" si="2"/>
        <v>1147049.1659999997</v>
      </c>
      <c r="F11" s="698">
        <f t="shared" si="2"/>
        <v>1152681.392</v>
      </c>
      <c r="G11" s="699">
        <f t="shared" si="2"/>
        <v>1158313.618</v>
      </c>
      <c r="H11" s="700">
        <f t="shared" si="2"/>
        <v>1130081.1939999999</v>
      </c>
      <c r="I11" s="698">
        <f t="shared" si="2"/>
        <v>1164017.138</v>
      </c>
      <c r="J11" s="701">
        <f t="shared" si="2"/>
        <v>1169649.3640000001</v>
      </c>
      <c r="K11" s="698">
        <f t="shared" si="2"/>
        <v>1175281.5899999999</v>
      </c>
      <c r="L11" s="699">
        <f t="shared" si="2"/>
        <v>1180913.8159999999</v>
      </c>
      <c r="M11" s="698">
        <f t="shared" si="2"/>
        <v>1186617.3359999999</v>
      </c>
    </row>
    <row r="12" spans="1:13" x14ac:dyDescent="0.3">
      <c r="A12" s="164"/>
      <c r="B12" s="702"/>
      <c r="C12" s="703"/>
      <c r="D12" s="702"/>
      <c r="E12" s="703"/>
      <c r="F12" s="702"/>
      <c r="G12" s="703"/>
      <c r="H12" s="704"/>
      <c r="I12" s="702"/>
      <c r="J12" s="703"/>
      <c r="K12" s="702"/>
      <c r="L12" s="703"/>
      <c r="M12" s="702"/>
    </row>
    <row r="13" spans="1:13" x14ac:dyDescent="0.3">
      <c r="A13" s="164" t="s">
        <v>1945</v>
      </c>
      <c r="B13" s="698" t="e">
        <f t="shared" ref="B13:M13" si="3">B11-$H$26</f>
        <v>#REF!</v>
      </c>
      <c r="C13" s="699" t="e">
        <f t="shared" si="3"/>
        <v>#REF!</v>
      </c>
      <c r="D13" s="698" t="e">
        <f t="shared" si="3"/>
        <v>#REF!</v>
      </c>
      <c r="E13" s="699" t="e">
        <f t="shared" si="3"/>
        <v>#REF!</v>
      </c>
      <c r="F13" s="698" t="e">
        <f t="shared" si="3"/>
        <v>#REF!</v>
      </c>
      <c r="G13" s="699" t="e">
        <f t="shared" si="3"/>
        <v>#REF!</v>
      </c>
      <c r="H13" s="700" t="e">
        <f t="shared" si="3"/>
        <v>#REF!</v>
      </c>
      <c r="I13" s="698" t="e">
        <f t="shared" si="3"/>
        <v>#REF!</v>
      </c>
      <c r="J13" s="701" t="e">
        <f t="shared" si="3"/>
        <v>#REF!</v>
      </c>
      <c r="K13" s="698" t="e">
        <f t="shared" si="3"/>
        <v>#REF!</v>
      </c>
      <c r="L13" s="699" t="e">
        <f t="shared" si="3"/>
        <v>#REF!</v>
      </c>
      <c r="M13" s="698" t="e">
        <f t="shared" si="3"/>
        <v>#REF!</v>
      </c>
    </row>
    <row r="14" spans="1:13" x14ac:dyDescent="0.3">
      <c r="A14" s="164"/>
      <c r="B14" s="702"/>
      <c r="C14" s="703"/>
      <c r="D14" s="702"/>
      <c r="E14" s="703"/>
      <c r="F14" s="702"/>
      <c r="G14" s="703"/>
      <c r="H14" s="704"/>
      <c r="I14" s="702"/>
      <c r="J14" s="703"/>
      <c r="K14" s="702"/>
      <c r="L14" s="703"/>
      <c r="M14" s="702"/>
    </row>
    <row r="15" spans="1:13" x14ac:dyDescent="0.3">
      <c r="A15" s="164" t="s">
        <v>1946</v>
      </c>
      <c r="B15" s="702" t="e">
        <f>#REF!+'Precept Summary Table'!B13</f>
        <v>#REF!</v>
      </c>
      <c r="C15" s="703" t="e">
        <f>#REF!+'Precept Summary Table'!C13</f>
        <v>#REF!</v>
      </c>
      <c r="D15" s="702" t="e">
        <f>#REF!+'Precept Summary Table'!D13</f>
        <v>#REF!</v>
      </c>
      <c r="E15" s="703" t="e">
        <f>#REF!+'Precept Summary Table'!E13</f>
        <v>#REF!</v>
      </c>
      <c r="F15" s="702" t="e">
        <f>#REF!+'Precept Summary Table'!F13</f>
        <v>#REF!</v>
      </c>
      <c r="G15" s="703" t="e">
        <f>#REF!+'Precept Summary Table'!G13</f>
        <v>#REF!</v>
      </c>
      <c r="H15" s="704" t="e">
        <f>#REF!+'Precept Summary Table'!H13</f>
        <v>#REF!</v>
      </c>
      <c r="I15" s="702" t="e">
        <f>#REF!+'Precept Summary Table'!I13</f>
        <v>#REF!</v>
      </c>
      <c r="J15" s="703" t="e">
        <f>#REF!+'Precept Summary Table'!J13+1</f>
        <v>#REF!</v>
      </c>
      <c r="K15" s="702" t="e">
        <f>#REF!+'Precept Summary Table'!K13</f>
        <v>#REF!</v>
      </c>
      <c r="L15" s="703" t="e">
        <f>#REF!+'Precept Summary Table'!L13</f>
        <v>#REF!</v>
      </c>
      <c r="M15" s="702" t="e">
        <f>#REF!+'Precept Summary Table'!M13</f>
        <v>#REF!</v>
      </c>
    </row>
    <row r="16" spans="1:13" x14ac:dyDescent="0.3">
      <c r="A16" s="165"/>
      <c r="B16" s="167"/>
      <c r="C16" s="162"/>
      <c r="D16" s="167"/>
      <c r="E16" s="162"/>
      <c r="F16" s="167"/>
      <c r="G16" s="162"/>
      <c r="H16" s="171"/>
      <c r="I16" s="167"/>
      <c r="J16" s="162"/>
      <c r="K16" s="167"/>
      <c r="L16" s="162"/>
      <c r="M16" s="167"/>
    </row>
    <row r="18" spans="1:13" x14ac:dyDescent="0.3">
      <c r="A18" s="141" t="s">
        <v>1947</v>
      </c>
      <c r="B18" s="141"/>
      <c r="C18" s="141"/>
      <c r="D18" s="141"/>
      <c r="E18" s="141"/>
      <c r="F18" s="141"/>
      <c r="G18" s="141"/>
      <c r="H18" s="141"/>
      <c r="I18" s="141"/>
      <c r="J18" s="141"/>
      <c r="K18" s="141"/>
      <c r="L18" s="141"/>
      <c r="M18" s="141"/>
    </row>
    <row r="20" spans="1:13" x14ac:dyDescent="0.3">
      <c r="A20" s="141" t="s">
        <v>1948</v>
      </c>
      <c r="B20" s="141"/>
      <c r="C20" s="705"/>
      <c r="D20" s="705"/>
      <c r="E20" s="705"/>
      <c r="F20" s="705"/>
      <c r="G20" s="705"/>
      <c r="H20" s="705">
        <v>7059</v>
      </c>
      <c r="I20" s="705"/>
      <c r="J20" s="705"/>
      <c r="K20" s="705"/>
      <c r="L20" s="705"/>
      <c r="M20" s="705"/>
    </row>
    <row r="21" spans="1:13" x14ac:dyDescent="0.3">
      <c r="A21" s="141" t="s">
        <v>1949</v>
      </c>
      <c r="B21" s="141"/>
      <c r="C21" s="705"/>
      <c r="D21" s="705"/>
      <c r="E21" s="705"/>
      <c r="F21" s="705"/>
      <c r="G21" s="705"/>
      <c r="H21" s="705">
        <v>7129.4</v>
      </c>
      <c r="I21" s="705"/>
      <c r="J21" s="705"/>
      <c r="K21" s="705"/>
      <c r="L21" s="705"/>
      <c r="M21" s="705"/>
    </row>
    <row r="22" spans="1:13" x14ac:dyDescent="0.3">
      <c r="A22" s="141"/>
      <c r="B22" s="141"/>
      <c r="C22" s="705"/>
      <c r="D22" s="705"/>
      <c r="E22" s="705"/>
      <c r="F22" s="705"/>
      <c r="G22" s="705"/>
      <c r="H22" s="705"/>
      <c r="I22" s="705"/>
      <c r="J22" s="705"/>
      <c r="K22" s="705"/>
      <c r="L22" s="705"/>
      <c r="M22" s="705"/>
    </row>
    <row r="23" spans="1:13" x14ac:dyDescent="0.3">
      <c r="A23" s="141" t="s">
        <v>1950</v>
      </c>
      <c r="B23" s="141"/>
      <c r="C23" s="706"/>
      <c r="D23" s="706"/>
      <c r="E23" s="706"/>
      <c r="F23" s="706"/>
      <c r="G23" s="706"/>
      <c r="H23" s="707">
        <v>158.51</v>
      </c>
      <c r="I23" s="706"/>
      <c r="J23" s="706"/>
      <c r="K23" s="706"/>
      <c r="L23" s="706"/>
      <c r="M23" s="706"/>
    </row>
    <row r="24" spans="1:13" x14ac:dyDescent="0.3">
      <c r="A24" s="172" t="s">
        <v>1951</v>
      </c>
      <c r="B24" s="141"/>
      <c r="C24" s="708"/>
      <c r="D24" s="708"/>
      <c r="E24" s="708"/>
      <c r="F24" s="708"/>
      <c r="G24" s="708"/>
      <c r="H24" s="709">
        <f>H23*H21</f>
        <v>1130081.1939999999</v>
      </c>
      <c r="I24" s="708"/>
      <c r="J24" s="708"/>
      <c r="K24" s="708"/>
      <c r="L24" s="708"/>
      <c r="M24" s="708"/>
    </row>
    <row r="26" spans="1:13" x14ac:dyDescent="0.3">
      <c r="A26" s="141" t="s">
        <v>1952</v>
      </c>
      <c r="B26" s="141"/>
      <c r="C26" s="710"/>
      <c r="D26" s="710"/>
      <c r="E26" s="710"/>
      <c r="F26" s="710"/>
      <c r="G26" s="710"/>
      <c r="H26" s="711" t="e">
        <f>#REF!</f>
        <v>#REF!</v>
      </c>
      <c r="I26" s="710"/>
      <c r="J26" s="710"/>
      <c r="K26" s="710"/>
      <c r="L26" s="710"/>
      <c r="M26" s="710"/>
    </row>
  </sheetData>
  <phoneticPr fontId="0" type="noConversion"/>
  <pageMargins left="0.75" right="0.75" top="1" bottom="1" header="0.5" footer="0.5"/>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
    <pageSetUpPr fitToPage="1"/>
  </sheetPr>
  <dimension ref="A1:E39"/>
  <sheetViews>
    <sheetView workbookViewId="0"/>
  </sheetViews>
  <sheetFormatPr defaultColWidth="9.296875" defaultRowHeight="13" x14ac:dyDescent="0.3"/>
  <cols>
    <col min="1" max="1" width="31" style="6" bestFit="1" customWidth="1"/>
    <col min="2" max="3" width="28.796875" style="80" customWidth="1"/>
    <col min="4" max="4" width="28.796875" style="6" customWidth="1"/>
    <col min="5" max="5" width="71.69921875" style="6" bestFit="1" customWidth="1"/>
    <col min="6" max="16384" width="9.296875" style="6"/>
  </cols>
  <sheetData>
    <row r="1" spans="1:5" x14ac:dyDescent="0.3">
      <c r="A1" s="141" t="s">
        <v>73</v>
      </c>
      <c r="B1" s="712"/>
      <c r="C1" s="712"/>
      <c r="D1" s="141"/>
      <c r="E1" s="141"/>
    </row>
    <row r="3" spans="1:5" x14ac:dyDescent="0.3">
      <c r="A3" s="141" t="s">
        <v>1953</v>
      </c>
      <c r="B3" s="712"/>
      <c r="C3" s="712"/>
      <c r="D3" s="141"/>
      <c r="E3" s="141"/>
    </row>
    <row r="5" spans="1:5" x14ac:dyDescent="0.3">
      <c r="A5" s="81" t="s">
        <v>1954</v>
      </c>
      <c r="B5" s="81" t="s">
        <v>1955</v>
      </c>
      <c r="C5" s="81" t="s">
        <v>1956</v>
      </c>
      <c r="D5" s="82" t="s">
        <v>1957</v>
      </c>
      <c r="E5" s="82" t="s">
        <v>1958</v>
      </c>
    </row>
    <row r="6" spans="1:5" x14ac:dyDescent="0.3">
      <c r="A6" s="141" t="s">
        <v>1959</v>
      </c>
      <c r="B6" s="148">
        <v>0</v>
      </c>
      <c r="C6" s="148">
        <v>0</v>
      </c>
      <c r="D6" s="148">
        <v>0</v>
      </c>
      <c r="E6" s="141"/>
    </row>
    <row r="7" spans="1:5" x14ac:dyDescent="0.3">
      <c r="A7" s="141" t="s">
        <v>88</v>
      </c>
      <c r="B7" s="148">
        <v>33620</v>
      </c>
      <c r="C7" s="148">
        <v>86805.92</v>
      </c>
      <c r="D7" s="148">
        <v>85350.92</v>
      </c>
      <c r="E7" s="141" t="s">
        <v>1960</v>
      </c>
    </row>
    <row r="8" spans="1:5" x14ac:dyDescent="0.3">
      <c r="A8" s="141" t="s">
        <v>174</v>
      </c>
      <c r="B8" s="148">
        <v>58557</v>
      </c>
      <c r="C8" s="148">
        <v>56075.6</v>
      </c>
      <c r="D8" s="148">
        <v>56075.6</v>
      </c>
      <c r="E8" s="141" t="s">
        <v>1961</v>
      </c>
    </row>
    <row r="9" spans="1:5" x14ac:dyDescent="0.3">
      <c r="A9" s="141" t="s">
        <v>92</v>
      </c>
      <c r="B9" s="148">
        <v>11025</v>
      </c>
      <c r="C9" s="148">
        <v>0</v>
      </c>
      <c r="D9" s="148">
        <v>0</v>
      </c>
      <c r="E9" s="141" t="s">
        <v>1962</v>
      </c>
    </row>
    <row r="10" spans="1:5" x14ac:dyDescent="0.3">
      <c r="A10" s="141" t="s">
        <v>90</v>
      </c>
      <c r="B10" s="148">
        <v>0</v>
      </c>
      <c r="C10" s="148">
        <v>0</v>
      </c>
      <c r="D10" s="148">
        <v>0</v>
      </c>
      <c r="E10" s="141"/>
    </row>
    <row r="11" spans="1:5" x14ac:dyDescent="0.3">
      <c r="A11" s="141" t="s">
        <v>1963</v>
      </c>
      <c r="B11" s="148">
        <v>4960</v>
      </c>
      <c r="C11" s="148">
        <v>18446.060000000001</v>
      </c>
      <c r="D11" s="148">
        <v>18446.060000000001</v>
      </c>
      <c r="E11" s="141" t="s">
        <v>1964</v>
      </c>
    </row>
    <row r="12" spans="1:5" x14ac:dyDescent="0.3">
      <c r="A12" s="141" t="s">
        <v>94</v>
      </c>
      <c r="B12" s="148">
        <v>0</v>
      </c>
      <c r="C12" s="148">
        <v>0</v>
      </c>
      <c r="D12" s="148">
        <v>0</v>
      </c>
      <c r="E12" s="141"/>
    </row>
    <row r="13" spans="1:5" x14ac:dyDescent="0.3">
      <c r="A13" s="141" t="s">
        <v>1965</v>
      </c>
      <c r="B13" s="148">
        <v>0</v>
      </c>
      <c r="C13" s="148">
        <v>0</v>
      </c>
      <c r="D13" s="148">
        <v>0</v>
      </c>
      <c r="E13" s="141"/>
    </row>
    <row r="14" spans="1:5" x14ac:dyDescent="0.3">
      <c r="A14" s="141"/>
      <c r="B14" s="713">
        <f>SUM(B6:B13)</f>
        <v>108162</v>
      </c>
      <c r="C14" s="713">
        <f>SUM(C6:C13)</f>
        <v>161327.57999999999</v>
      </c>
      <c r="D14" s="713">
        <f>SUM(D6:D13)</f>
        <v>159872.57999999999</v>
      </c>
      <c r="E14" s="141"/>
    </row>
    <row r="16" spans="1:5" x14ac:dyDescent="0.3">
      <c r="A16" s="81" t="s">
        <v>1966</v>
      </c>
      <c r="B16" s="81" t="s">
        <v>1955</v>
      </c>
      <c r="C16" s="81" t="s">
        <v>1956</v>
      </c>
      <c r="D16" s="82" t="s">
        <v>1957</v>
      </c>
      <c r="E16" s="141"/>
    </row>
    <row r="18" spans="1:4" x14ac:dyDescent="0.3">
      <c r="A18" s="141" t="s">
        <v>1959</v>
      </c>
      <c r="B18" s="148">
        <v>0</v>
      </c>
      <c r="C18" s="148">
        <v>0</v>
      </c>
      <c r="D18" s="148">
        <v>0</v>
      </c>
    </row>
    <row r="19" spans="1:4" x14ac:dyDescent="0.3">
      <c r="A19" s="141" t="s">
        <v>88</v>
      </c>
      <c r="B19" s="148">
        <v>0</v>
      </c>
      <c r="C19" s="148">
        <v>-22722.3</v>
      </c>
      <c r="D19" s="148">
        <v>-22722.3</v>
      </c>
    </row>
    <row r="20" spans="1:4" x14ac:dyDescent="0.3">
      <c r="A20" s="141" t="s">
        <v>174</v>
      </c>
      <c r="B20" s="148">
        <v>0</v>
      </c>
      <c r="C20" s="148">
        <v>-2000</v>
      </c>
      <c r="D20" s="148">
        <v>-2000</v>
      </c>
    </row>
    <row r="21" spans="1:4" x14ac:dyDescent="0.3">
      <c r="A21" s="141" t="s">
        <v>92</v>
      </c>
      <c r="B21" s="148">
        <v>0</v>
      </c>
      <c r="C21" s="148">
        <v>0</v>
      </c>
      <c r="D21" s="148">
        <v>0</v>
      </c>
    </row>
    <row r="22" spans="1:4" x14ac:dyDescent="0.3">
      <c r="A22" s="141" t="s">
        <v>90</v>
      </c>
      <c r="B22" s="148">
        <v>0</v>
      </c>
      <c r="C22" s="148">
        <v>0</v>
      </c>
      <c r="D22" s="148">
        <v>0</v>
      </c>
    </row>
    <row r="23" spans="1:4" x14ac:dyDescent="0.3">
      <c r="A23" s="141" t="s">
        <v>1963</v>
      </c>
      <c r="B23" s="148">
        <v>0</v>
      </c>
      <c r="C23" s="148">
        <v>0</v>
      </c>
      <c r="D23" s="148">
        <v>0</v>
      </c>
    </row>
    <row r="24" spans="1:4" x14ac:dyDescent="0.3">
      <c r="A24" s="141" t="s">
        <v>94</v>
      </c>
      <c r="B24" s="148">
        <v>0</v>
      </c>
      <c r="C24" s="148">
        <v>0</v>
      </c>
      <c r="D24" s="148">
        <v>0</v>
      </c>
    </row>
    <row r="25" spans="1:4" x14ac:dyDescent="0.3">
      <c r="A25" s="141" t="s">
        <v>1965</v>
      </c>
      <c r="B25" s="148">
        <v>0</v>
      </c>
      <c r="C25" s="148">
        <v>0</v>
      </c>
      <c r="D25" s="148">
        <v>0</v>
      </c>
    </row>
    <row r="26" spans="1:4" x14ac:dyDescent="0.3">
      <c r="A26" s="141"/>
      <c r="B26" s="713">
        <f>SUM(B18:B25)</f>
        <v>0</v>
      </c>
      <c r="C26" s="713">
        <f>SUM(C18:C25)</f>
        <v>-24722.3</v>
      </c>
      <c r="D26" s="713">
        <f>SUM(D18:D25)</f>
        <v>-24722.3</v>
      </c>
    </row>
    <row r="28" spans="1:4" x14ac:dyDescent="0.3">
      <c r="A28" s="141" t="s">
        <v>805</v>
      </c>
      <c r="B28" s="713">
        <f>B14+B26</f>
        <v>108162</v>
      </c>
      <c r="C28" s="713">
        <f>C14+C26</f>
        <v>136605.28</v>
      </c>
      <c r="D28" s="713">
        <f>D14+D26</f>
        <v>135150.28</v>
      </c>
    </row>
    <row r="29" spans="1:4" x14ac:dyDescent="0.3">
      <c r="A29" s="141"/>
      <c r="B29" s="714"/>
      <c r="C29" s="714"/>
      <c r="D29" s="714"/>
    </row>
    <row r="30" spans="1:4" x14ac:dyDescent="0.3">
      <c r="A30" s="81" t="s">
        <v>364</v>
      </c>
      <c r="B30" s="712"/>
      <c r="C30" s="712"/>
      <c r="D30" s="141"/>
    </row>
    <row r="31" spans="1:4" x14ac:dyDescent="0.3">
      <c r="A31" s="141" t="s">
        <v>1959</v>
      </c>
      <c r="B31" s="712">
        <f t="shared" ref="B31:D36" si="0">B6+B18</f>
        <v>0</v>
      </c>
      <c r="C31" s="712">
        <f t="shared" si="0"/>
        <v>0</v>
      </c>
      <c r="D31" s="712">
        <f t="shared" si="0"/>
        <v>0</v>
      </c>
    </row>
    <row r="32" spans="1:4" x14ac:dyDescent="0.3">
      <c r="A32" s="141" t="s">
        <v>88</v>
      </c>
      <c r="B32" s="712">
        <f t="shared" si="0"/>
        <v>33620</v>
      </c>
      <c r="C32" s="712">
        <f t="shared" si="0"/>
        <v>64083.619999999995</v>
      </c>
      <c r="D32" s="712">
        <f t="shared" si="0"/>
        <v>62628.619999999995</v>
      </c>
    </row>
    <row r="33" spans="1:4" x14ac:dyDescent="0.3">
      <c r="A33" s="141" t="s">
        <v>174</v>
      </c>
      <c r="B33" s="712">
        <f t="shared" si="0"/>
        <v>58557</v>
      </c>
      <c r="C33" s="712">
        <f t="shared" si="0"/>
        <v>54075.6</v>
      </c>
      <c r="D33" s="712">
        <f t="shared" si="0"/>
        <v>54075.6</v>
      </c>
    </row>
    <row r="34" spans="1:4" x14ac:dyDescent="0.3">
      <c r="A34" s="141" t="s">
        <v>92</v>
      </c>
      <c r="B34" s="712">
        <f t="shared" si="0"/>
        <v>11025</v>
      </c>
      <c r="C34" s="712">
        <f t="shared" si="0"/>
        <v>0</v>
      </c>
      <c r="D34" s="712">
        <f t="shared" si="0"/>
        <v>0</v>
      </c>
    </row>
    <row r="35" spans="1:4" x14ac:dyDescent="0.3">
      <c r="A35" s="141" t="s">
        <v>90</v>
      </c>
      <c r="B35" s="712">
        <f t="shared" si="0"/>
        <v>0</v>
      </c>
      <c r="C35" s="712">
        <f t="shared" si="0"/>
        <v>0</v>
      </c>
      <c r="D35" s="712">
        <f t="shared" si="0"/>
        <v>0</v>
      </c>
    </row>
    <row r="36" spans="1:4" x14ac:dyDescent="0.3">
      <c r="A36" s="141" t="s">
        <v>1963</v>
      </c>
      <c r="B36" s="712">
        <f t="shared" si="0"/>
        <v>4960</v>
      </c>
      <c r="C36" s="712">
        <f t="shared" si="0"/>
        <v>18446.060000000001</v>
      </c>
      <c r="D36" s="712">
        <f t="shared" si="0"/>
        <v>18446.060000000001</v>
      </c>
    </row>
    <row r="37" spans="1:4" x14ac:dyDescent="0.3">
      <c r="A37" s="141" t="s">
        <v>94</v>
      </c>
      <c r="B37" s="712">
        <f t="shared" ref="B37:D38" si="1">B12+B24</f>
        <v>0</v>
      </c>
      <c r="C37" s="712">
        <f t="shared" si="1"/>
        <v>0</v>
      </c>
      <c r="D37" s="712">
        <f t="shared" si="1"/>
        <v>0</v>
      </c>
    </row>
    <row r="38" spans="1:4" x14ac:dyDescent="0.3">
      <c r="A38" s="141" t="s">
        <v>1965</v>
      </c>
      <c r="B38" s="712">
        <f t="shared" si="1"/>
        <v>0</v>
      </c>
      <c r="C38" s="712">
        <f t="shared" si="1"/>
        <v>0</v>
      </c>
      <c r="D38" s="712">
        <f t="shared" si="1"/>
        <v>0</v>
      </c>
    </row>
    <row r="39" spans="1:4" x14ac:dyDescent="0.3">
      <c r="A39" s="141"/>
      <c r="B39" s="713">
        <f>SUM(B31:B38)</f>
        <v>108162</v>
      </c>
      <c r="C39" s="713">
        <f>SUM(C31:C38)</f>
        <v>136605.28</v>
      </c>
      <c r="D39" s="713">
        <f>SUM(D31:D38)</f>
        <v>135150.28</v>
      </c>
    </row>
  </sheetData>
  <phoneticPr fontId="0" type="noConversion"/>
  <pageMargins left="0.75" right="0.75" top="1" bottom="1" header="0.5" footer="0.5"/>
  <pageSetup paperSize="9" scale="76"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2">
    <pageSetUpPr fitToPage="1"/>
  </sheetPr>
  <dimension ref="A1:AH120"/>
  <sheetViews>
    <sheetView workbookViewId="0"/>
  </sheetViews>
  <sheetFormatPr defaultColWidth="9.296875" defaultRowHeight="12.5" x14ac:dyDescent="0.25"/>
  <cols>
    <col min="1" max="1" width="50.19921875" style="20" bestFit="1" customWidth="1"/>
    <col min="2" max="2" width="38.296875" style="20" bestFit="1" customWidth="1"/>
    <col min="3" max="3" width="18.296875" style="20" bestFit="1" customWidth="1"/>
    <col min="4" max="4" width="30.19921875" style="20" bestFit="1" customWidth="1"/>
    <col min="5" max="5" width="8.5" style="20" bestFit="1" customWidth="1"/>
    <col min="6" max="6" width="7.296875" style="20" bestFit="1" customWidth="1"/>
    <col min="7" max="24" width="19.5" style="3" customWidth="1"/>
    <col min="25" max="25" width="19.5" style="20" customWidth="1"/>
    <col min="26" max="27" width="9.296875" style="20"/>
    <col min="28" max="28" width="14" style="20" bestFit="1" customWidth="1"/>
    <col min="29" max="29" width="17.296875" style="20" bestFit="1" customWidth="1"/>
    <col min="30" max="31" width="9.296875" style="20"/>
    <col min="32" max="32" width="59.69921875" style="20" bestFit="1" customWidth="1"/>
    <col min="33" max="33" width="14" style="20" bestFit="1" customWidth="1"/>
    <col min="34" max="34" width="17.296875" style="20" bestFit="1" customWidth="1"/>
    <col min="35" max="16384" width="9.296875" style="20"/>
  </cols>
  <sheetData>
    <row r="1" spans="1:34" ht="15.5" x14ac:dyDescent="0.35">
      <c r="A1" s="19" t="s">
        <v>73</v>
      </c>
      <c r="G1" s="13"/>
      <c r="I1" s="13"/>
      <c r="J1" s="13"/>
      <c r="K1" s="13"/>
      <c r="L1" s="13"/>
      <c r="M1" s="13"/>
      <c r="N1" s="13"/>
      <c r="O1" s="13"/>
      <c r="P1" s="13"/>
      <c r="U1" s="765" t="s">
        <v>1967</v>
      </c>
    </row>
    <row r="2" spans="1:34" ht="15.5" x14ac:dyDescent="0.35">
      <c r="A2" s="19"/>
      <c r="I2" s="13"/>
      <c r="J2" s="13"/>
      <c r="K2" s="13"/>
      <c r="L2" s="13"/>
      <c r="M2" s="13"/>
      <c r="N2" s="13"/>
      <c r="O2" s="13"/>
      <c r="P2" s="13"/>
      <c r="U2" s="766"/>
    </row>
    <row r="3" spans="1:34" ht="15.5" x14ac:dyDescent="0.35">
      <c r="A3" s="19" t="s">
        <v>1968</v>
      </c>
      <c r="I3" s="13"/>
      <c r="J3" s="13"/>
      <c r="K3" s="13"/>
      <c r="L3" s="13"/>
      <c r="M3" s="13"/>
      <c r="N3" s="13"/>
      <c r="O3" s="13"/>
      <c r="P3" s="13"/>
      <c r="U3" s="766"/>
    </row>
    <row r="4" spans="1:34" ht="15.5" x14ac:dyDescent="0.35">
      <c r="A4" s="19"/>
      <c r="U4" s="766"/>
    </row>
    <row r="5" spans="1:34" ht="15.5" x14ac:dyDescent="0.35">
      <c r="A5" s="19" t="s">
        <v>1969</v>
      </c>
      <c r="U5" s="766"/>
    </row>
    <row r="6" spans="1:34" ht="13.5" thickBot="1" x14ac:dyDescent="0.35">
      <c r="U6" s="767"/>
      <c r="X6" s="21"/>
    </row>
    <row r="7" spans="1:34" ht="16" thickBot="1" x14ac:dyDescent="0.4">
      <c r="A7" s="22"/>
      <c r="G7" s="23" t="s">
        <v>1970</v>
      </c>
      <c r="H7" s="24"/>
      <c r="I7" s="24"/>
      <c r="J7" s="24"/>
      <c r="K7" s="24"/>
      <c r="L7" s="25"/>
      <c r="M7" s="26"/>
      <c r="N7" s="24" t="s">
        <v>1971</v>
      </c>
      <c r="O7" s="24"/>
      <c r="P7" s="24"/>
      <c r="Q7" s="24"/>
      <c r="R7" s="24"/>
      <c r="S7" s="24"/>
      <c r="T7" s="24"/>
      <c r="U7" s="27" t="s">
        <v>1972</v>
      </c>
      <c r="V7" s="26"/>
      <c r="X7" s="28" t="s">
        <v>1973</v>
      </c>
      <c r="Y7" s="9" t="s">
        <v>1974</v>
      </c>
      <c r="AA7" s="75" t="s">
        <v>1975</v>
      </c>
      <c r="AB7" s="75" t="s">
        <v>1976</v>
      </c>
      <c r="AC7" s="75" t="s">
        <v>275</v>
      </c>
      <c r="AE7" s="76" t="s">
        <v>1977</v>
      </c>
      <c r="AF7" s="76" t="s">
        <v>1978</v>
      </c>
      <c r="AG7" s="78">
        <v>90420199</v>
      </c>
      <c r="AH7" s="77">
        <f>X20</f>
        <v>103872.34000000001</v>
      </c>
    </row>
    <row r="8" spans="1:34" ht="15.5" x14ac:dyDescent="0.35">
      <c r="A8" s="22"/>
      <c r="G8" s="29"/>
      <c r="H8" s="29"/>
      <c r="I8" s="29"/>
      <c r="J8" s="29"/>
      <c r="K8" s="29"/>
      <c r="L8" s="29"/>
      <c r="M8" s="29"/>
      <c r="N8" s="29"/>
      <c r="O8" s="29"/>
      <c r="P8" s="29"/>
      <c r="Q8" s="29"/>
      <c r="R8" s="29"/>
      <c r="S8" s="29"/>
      <c r="T8" s="29"/>
      <c r="U8" s="29"/>
      <c r="V8" s="29"/>
      <c r="X8" s="30"/>
      <c r="AA8" s="76">
        <v>299</v>
      </c>
      <c r="AB8" s="76" t="s">
        <v>1979</v>
      </c>
      <c r="AC8" s="77">
        <f t="shared" ref="AC8:AC28" si="0">SUMIF(Y:Y,AA8,X:X)</f>
        <v>56075.6</v>
      </c>
      <c r="AE8" s="76" t="s">
        <v>1977</v>
      </c>
      <c r="AF8" s="76" t="s">
        <v>1980</v>
      </c>
      <c r="AG8" s="79">
        <v>90430199</v>
      </c>
      <c r="AH8" s="77">
        <f>X30</f>
        <v>4103.6499999999996</v>
      </c>
    </row>
    <row r="9" spans="1:34" s="31" customFormat="1" ht="15.5" x14ac:dyDescent="0.35">
      <c r="B9" s="32"/>
      <c r="C9" s="32"/>
      <c r="D9" s="33" t="s">
        <v>1981</v>
      </c>
      <c r="E9" s="33" t="s">
        <v>1982</v>
      </c>
      <c r="F9" s="33"/>
      <c r="G9" s="34">
        <v>39538</v>
      </c>
      <c r="H9" s="35" t="s">
        <v>1983</v>
      </c>
      <c r="I9" s="34" t="s">
        <v>1984</v>
      </c>
      <c r="J9" s="34" t="s">
        <v>1985</v>
      </c>
      <c r="K9" s="34" t="s">
        <v>1986</v>
      </c>
      <c r="L9" s="34" t="s">
        <v>1987</v>
      </c>
      <c r="M9" s="34">
        <v>39903</v>
      </c>
      <c r="N9" s="34">
        <f>G9</f>
        <v>39538</v>
      </c>
      <c r="O9" s="34" t="s">
        <v>1984</v>
      </c>
      <c r="P9" s="34" t="s">
        <v>1985</v>
      </c>
      <c r="Q9" s="34" t="s">
        <v>1988</v>
      </c>
      <c r="R9" s="34" t="s">
        <v>1989</v>
      </c>
      <c r="S9" s="34" t="s">
        <v>1987</v>
      </c>
      <c r="T9" s="34">
        <f>M9</f>
        <v>39903</v>
      </c>
      <c r="U9" s="34">
        <f>G9</f>
        <v>39538</v>
      </c>
      <c r="V9" s="34">
        <f>M9</f>
        <v>39903</v>
      </c>
      <c r="W9" s="36"/>
      <c r="X9" s="36"/>
      <c r="AA9" s="76">
        <v>320</v>
      </c>
      <c r="AB9" s="76" t="s">
        <v>1990</v>
      </c>
      <c r="AC9" s="77">
        <f t="shared" si="0"/>
        <v>0</v>
      </c>
      <c r="AE9" s="76" t="s">
        <v>1977</v>
      </c>
      <c r="AF9" s="76" t="s">
        <v>1991</v>
      </c>
      <c r="AG9" s="79">
        <v>90440199</v>
      </c>
      <c r="AH9" s="77">
        <f>X35</f>
        <v>1831.2</v>
      </c>
    </row>
    <row r="10" spans="1:34" ht="15.5" x14ac:dyDescent="0.35">
      <c r="A10" s="37" t="s">
        <v>1992</v>
      </c>
      <c r="B10" s="22"/>
      <c r="C10" s="22"/>
      <c r="D10" s="37"/>
      <c r="E10" s="37"/>
      <c r="F10" s="37"/>
      <c r="G10" s="11"/>
      <c r="H10" s="10"/>
      <c r="I10" s="11"/>
      <c r="J10" s="11"/>
      <c r="K10" s="11"/>
      <c r="L10" s="11"/>
      <c r="M10" s="11"/>
      <c r="N10" s="11"/>
      <c r="O10" s="11"/>
      <c r="P10" s="11"/>
      <c r="Q10" s="11"/>
      <c r="R10" s="11"/>
      <c r="S10" s="11"/>
      <c r="T10" s="11"/>
      <c r="U10" s="11"/>
      <c r="V10" s="11"/>
      <c r="W10" s="2"/>
      <c r="X10" s="2"/>
      <c r="AA10" s="76">
        <v>326</v>
      </c>
      <c r="AB10" s="76" t="s">
        <v>1990</v>
      </c>
      <c r="AC10" s="77">
        <f t="shared" si="0"/>
        <v>4387.3999999999996</v>
      </c>
      <c r="AE10" s="76" t="s">
        <v>1977</v>
      </c>
      <c r="AF10" s="76" t="s">
        <v>1993</v>
      </c>
      <c r="AG10" s="79">
        <v>90460199</v>
      </c>
      <c r="AH10" s="77">
        <f>X43</f>
        <v>23932.29</v>
      </c>
    </row>
    <row r="11" spans="1:34" ht="15.5" x14ac:dyDescent="0.35">
      <c r="A11" s="37" t="s">
        <v>1994</v>
      </c>
      <c r="B11" s="22"/>
      <c r="C11" s="22"/>
      <c r="D11" s="22"/>
      <c r="E11" s="22"/>
      <c r="F11" s="22"/>
      <c r="G11" s="12"/>
      <c r="H11" s="12"/>
      <c r="I11" s="12"/>
      <c r="J11" s="12"/>
      <c r="K11" s="12"/>
      <c r="L11" s="12"/>
      <c r="M11" s="12"/>
      <c r="N11" s="12"/>
      <c r="O11" s="12"/>
      <c r="P11" s="12"/>
      <c r="Q11" s="12"/>
      <c r="R11" s="12"/>
      <c r="S11" s="12"/>
      <c r="T11" s="12"/>
      <c r="U11" s="12"/>
      <c r="V11" s="12"/>
      <c r="W11" s="2"/>
      <c r="X11" s="2"/>
      <c r="AA11" s="76">
        <v>327</v>
      </c>
      <c r="AB11" s="76" t="s">
        <v>1990</v>
      </c>
      <c r="AC11" s="77">
        <f t="shared" si="0"/>
        <v>208.75</v>
      </c>
      <c r="AE11" s="76" t="s">
        <v>1977</v>
      </c>
      <c r="AF11" s="76" t="s">
        <v>1995</v>
      </c>
      <c r="AG11" s="79">
        <v>90450199</v>
      </c>
      <c r="AH11" s="77">
        <f>X53</f>
        <v>10803</v>
      </c>
    </row>
    <row r="12" spans="1:34" ht="15.5" x14ac:dyDescent="0.35">
      <c r="A12" s="20" t="s">
        <v>1996</v>
      </c>
      <c r="D12" s="39"/>
      <c r="E12" s="8">
        <f>(100/60)/100</f>
        <v>1.6666666666666666E-2</v>
      </c>
      <c r="F12" s="8" t="s">
        <v>1997</v>
      </c>
      <c r="G12" s="7">
        <v>265000</v>
      </c>
      <c r="H12" s="7"/>
      <c r="I12" s="7"/>
      <c r="J12" s="7"/>
      <c r="K12" s="7"/>
      <c r="L12" s="7"/>
      <c r="M12" s="7">
        <f t="shared" ref="M12:M17" si="1">SUM(G12:L12)</f>
        <v>265000</v>
      </c>
      <c r="N12" s="7">
        <v>8833.67</v>
      </c>
      <c r="O12" s="7"/>
      <c r="P12" s="7"/>
      <c r="Q12" s="7">
        <f>ROUND(M12*E12,2)</f>
        <v>4416.67</v>
      </c>
      <c r="R12" s="7"/>
      <c r="S12" s="7"/>
      <c r="T12" s="7">
        <f>SUM(N12:S12)</f>
        <v>13250.34</v>
      </c>
      <c r="U12" s="7">
        <f>G12-N12</f>
        <v>256166.33</v>
      </c>
      <c r="V12" s="7">
        <f t="shared" ref="V12:V17" si="2">M12-T12</f>
        <v>251749.66</v>
      </c>
      <c r="W12" s="2"/>
      <c r="X12" s="2">
        <f t="shared" ref="X12:X19" si="3">SUM(Q12:R12)</f>
        <v>4416.67</v>
      </c>
      <c r="Y12" s="20">
        <v>401</v>
      </c>
      <c r="AA12" s="76">
        <v>328</v>
      </c>
      <c r="AB12" s="76" t="s">
        <v>1990</v>
      </c>
      <c r="AC12" s="77">
        <f t="shared" si="0"/>
        <v>12342.11</v>
      </c>
      <c r="AE12" s="76" t="s">
        <v>1977</v>
      </c>
      <c r="AF12" s="76" t="s">
        <v>1998</v>
      </c>
      <c r="AG12" s="79">
        <v>90470199</v>
      </c>
      <c r="AH12" s="77">
        <f>X65</f>
        <v>6723.16</v>
      </c>
    </row>
    <row r="13" spans="1:34" ht="15.5" x14ac:dyDescent="0.35">
      <c r="A13" s="20" t="s">
        <v>44</v>
      </c>
      <c r="D13" s="39"/>
      <c r="E13" s="8">
        <f>(100/30)/100</f>
        <v>3.3333333333333333E-2</v>
      </c>
      <c r="F13" s="8" t="s">
        <v>1997</v>
      </c>
      <c r="G13" s="7">
        <v>1503000</v>
      </c>
      <c r="H13" s="7"/>
      <c r="I13" s="7"/>
      <c r="J13" s="7"/>
      <c r="K13" s="7"/>
      <c r="L13" s="7"/>
      <c r="M13" s="7">
        <f t="shared" si="1"/>
        <v>1503000</v>
      </c>
      <c r="N13" s="7">
        <v>100200</v>
      </c>
      <c r="O13" s="7"/>
      <c r="P13" s="7"/>
      <c r="Q13" s="7">
        <f>ROUND(M13*E13,2)</f>
        <v>50100</v>
      </c>
      <c r="R13" s="7"/>
      <c r="S13" s="7"/>
      <c r="T13" s="7">
        <f>SUM(N13:S13)</f>
        <v>150300</v>
      </c>
      <c r="U13" s="7">
        <f t="shared" ref="U13:U19" si="4">G13-N13</f>
        <v>1402800</v>
      </c>
      <c r="V13" s="7">
        <f t="shared" si="2"/>
        <v>1352700</v>
      </c>
      <c r="W13" s="2"/>
      <c r="X13" s="2">
        <f t="shared" si="3"/>
        <v>50100</v>
      </c>
      <c r="Y13" s="20">
        <v>299</v>
      </c>
      <c r="AA13" s="76">
        <v>329</v>
      </c>
      <c r="AB13" s="76" t="s">
        <v>1990</v>
      </c>
      <c r="AC13" s="77">
        <f t="shared" si="0"/>
        <v>562.79999999999995</v>
      </c>
      <c r="AE13" s="76" t="s">
        <v>1977</v>
      </c>
      <c r="AF13" s="76" t="s">
        <v>1999</v>
      </c>
      <c r="AG13" s="79">
        <v>90480199</v>
      </c>
      <c r="AH13" s="77">
        <f>'FAR 0809 Budgeted'!X110</f>
        <v>10061.939999999999</v>
      </c>
    </row>
    <row r="14" spans="1:34" ht="15.5" x14ac:dyDescent="0.35">
      <c r="A14" s="20" t="s">
        <v>2000</v>
      </c>
      <c r="D14" s="39"/>
      <c r="E14" s="40"/>
      <c r="F14" s="8" t="s">
        <v>1997</v>
      </c>
      <c r="G14" s="7">
        <v>300000</v>
      </c>
      <c r="H14" s="7"/>
      <c r="I14" s="7"/>
      <c r="J14" s="7"/>
      <c r="K14" s="7"/>
      <c r="L14" s="7"/>
      <c r="M14" s="7">
        <f t="shared" si="1"/>
        <v>300000</v>
      </c>
      <c r="N14" s="7"/>
      <c r="O14" s="7"/>
      <c r="P14" s="7"/>
      <c r="Q14" s="7"/>
      <c r="R14" s="7"/>
      <c r="S14" s="7"/>
      <c r="T14" s="7"/>
      <c r="U14" s="7">
        <f t="shared" si="4"/>
        <v>300000</v>
      </c>
      <c r="V14" s="7">
        <f t="shared" si="2"/>
        <v>300000</v>
      </c>
      <c r="W14" s="2"/>
      <c r="X14" s="2">
        <f t="shared" si="3"/>
        <v>0</v>
      </c>
      <c r="AA14" s="76">
        <v>330</v>
      </c>
      <c r="AB14" s="76" t="s">
        <v>1990</v>
      </c>
      <c r="AC14" s="77">
        <f t="shared" si="0"/>
        <v>980</v>
      </c>
      <c r="AE14" s="76"/>
      <c r="AF14" s="76"/>
      <c r="AG14" s="79"/>
      <c r="AH14" s="77"/>
    </row>
    <row r="15" spans="1:34" ht="15.5" x14ac:dyDescent="0.35">
      <c r="A15" s="20" t="s">
        <v>2001</v>
      </c>
      <c r="B15" s="20" t="s">
        <v>2002</v>
      </c>
      <c r="C15" s="20" t="s">
        <v>2003</v>
      </c>
      <c r="E15" s="40"/>
      <c r="F15" s="8" t="s">
        <v>1997</v>
      </c>
      <c r="G15" s="7">
        <v>150000</v>
      </c>
      <c r="H15" s="7"/>
      <c r="I15" s="7"/>
      <c r="J15" s="7"/>
      <c r="K15" s="7"/>
      <c r="L15" s="7"/>
      <c r="M15" s="7">
        <f t="shared" si="1"/>
        <v>150000</v>
      </c>
      <c r="N15" s="7">
        <v>0</v>
      </c>
      <c r="O15" s="7"/>
      <c r="P15" s="7"/>
      <c r="Q15" s="7"/>
      <c r="R15" s="7"/>
      <c r="S15" s="7"/>
      <c r="T15" s="7">
        <f>SUM(N15:S15)</f>
        <v>0</v>
      </c>
      <c r="U15" s="7">
        <f t="shared" si="4"/>
        <v>150000</v>
      </c>
      <c r="V15" s="7">
        <f t="shared" si="2"/>
        <v>150000</v>
      </c>
      <c r="W15" s="2"/>
      <c r="X15" s="2">
        <f t="shared" si="3"/>
        <v>0</v>
      </c>
      <c r="AA15" s="76">
        <v>331</v>
      </c>
      <c r="AB15" s="76" t="s">
        <v>1990</v>
      </c>
      <c r="AC15" s="77">
        <f t="shared" si="0"/>
        <v>1291.42</v>
      </c>
      <c r="AE15" s="76" t="s">
        <v>2004</v>
      </c>
      <c r="AF15" s="76" t="s">
        <v>2005</v>
      </c>
      <c r="AG15" s="79">
        <v>49200199</v>
      </c>
      <c r="AH15" s="77">
        <f>SUMIF(AB:AB,AG15,AC:AC)</f>
        <v>18446.059999999998</v>
      </c>
    </row>
    <row r="16" spans="1:34" s="41" customFormat="1" ht="15.5" x14ac:dyDescent="0.35">
      <c r="A16" s="41" t="s">
        <v>2006</v>
      </c>
      <c r="E16" s="42">
        <f>(100/30)/100</f>
        <v>3.3333333333333333E-2</v>
      </c>
      <c r="F16" s="42" t="s">
        <v>1997</v>
      </c>
      <c r="G16" s="43">
        <v>377887.12</v>
      </c>
      <c r="H16" s="43"/>
      <c r="I16" s="43"/>
      <c r="J16" s="43"/>
      <c r="K16" s="43"/>
      <c r="L16" s="43"/>
      <c r="M16" s="43">
        <f t="shared" si="1"/>
        <v>377887.12</v>
      </c>
      <c r="N16" s="43">
        <v>12596.24</v>
      </c>
      <c r="O16" s="43"/>
      <c r="P16" s="43"/>
      <c r="Q16" s="43">
        <f>ROUND(M16*E16,2)</f>
        <v>12596.24</v>
      </c>
      <c r="R16" s="43"/>
      <c r="S16" s="43"/>
      <c r="T16" s="43">
        <f>SUM(N16:S16)</f>
        <v>25192.48</v>
      </c>
      <c r="U16" s="7">
        <f t="shared" si="4"/>
        <v>365290.88</v>
      </c>
      <c r="V16" s="43">
        <f t="shared" si="2"/>
        <v>352694.64</v>
      </c>
      <c r="W16" s="43"/>
      <c r="X16" s="43">
        <f t="shared" si="3"/>
        <v>12596.24</v>
      </c>
      <c r="Y16" s="41" t="s">
        <v>2007</v>
      </c>
      <c r="AA16" s="76">
        <v>337</v>
      </c>
      <c r="AB16" s="76" t="s">
        <v>1990</v>
      </c>
      <c r="AC16" s="77">
        <f t="shared" si="0"/>
        <v>669.5</v>
      </c>
      <c r="AE16" s="76" t="s">
        <v>2004</v>
      </c>
      <c r="AF16" s="76" t="s">
        <v>2008</v>
      </c>
      <c r="AG16" s="79">
        <v>29200199</v>
      </c>
      <c r="AH16" s="77">
        <f>SUMIF(AB:AB,AG16,AC:AC)</f>
        <v>56075.6</v>
      </c>
    </row>
    <row r="17" spans="1:34" s="41" customFormat="1" ht="15.5" x14ac:dyDescent="0.35">
      <c r="A17" s="41" t="s">
        <v>2009</v>
      </c>
      <c r="E17" s="42">
        <f>(100/30)/100</f>
        <v>3.3333333333333333E-2</v>
      </c>
      <c r="F17" s="42" t="s">
        <v>1997</v>
      </c>
      <c r="G17" s="43">
        <v>732519.48</v>
      </c>
      <c r="H17" s="43"/>
      <c r="I17" s="43"/>
      <c r="J17" s="43"/>
      <c r="K17" s="43"/>
      <c r="L17" s="43"/>
      <c r="M17" s="43">
        <f t="shared" si="1"/>
        <v>732519.48</v>
      </c>
      <c r="N17" s="43">
        <v>24417.32</v>
      </c>
      <c r="O17" s="43"/>
      <c r="P17" s="43"/>
      <c r="Q17" s="43">
        <f>ROUND(M17*E17,2)</f>
        <v>24417.32</v>
      </c>
      <c r="R17" s="43"/>
      <c r="S17" s="43"/>
      <c r="T17" s="43">
        <f>SUM(N17:S17)</f>
        <v>48834.64</v>
      </c>
      <c r="U17" s="7">
        <f t="shared" si="4"/>
        <v>708102.16</v>
      </c>
      <c r="V17" s="43">
        <f t="shared" si="2"/>
        <v>683684.84</v>
      </c>
      <c r="W17" s="43"/>
      <c r="X17" s="43">
        <f t="shared" si="3"/>
        <v>24417.32</v>
      </c>
      <c r="Y17" s="41" t="s">
        <v>2010</v>
      </c>
      <c r="AA17" s="76">
        <v>338</v>
      </c>
      <c r="AB17" s="76" t="s">
        <v>1990</v>
      </c>
      <c r="AC17" s="77">
        <f t="shared" si="0"/>
        <v>0</v>
      </c>
      <c r="AE17" s="76" t="s">
        <v>2004</v>
      </c>
      <c r="AF17" s="76" t="s">
        <v>2011</v>
      </c>
      <c r="AG17" s="79">
        <v>48420199</v>
      </c>
      <c r="AH17" s="77">
        <f>SUMIF(AB:AB,AG17,AC:AC)</f>
        <v>0</v>
      </c>
    </row>
    <row r="18" spans="1:34" ht="15.5" x14ac:dyDescent="0.35">
      <c r="A18" s="37" t="s">
        <v>2012</v>
      </c>
      <c r="E18" s="44"/>
      <c r="F18" s="44"/>
      <c r="G18" s="45"/>
      <c r="H18" s="45"/>
      <c r="I18" s="45"/>
      <c r="J18" s="45"/>
      <c r="K18" s="45"/>
      <c r="L18" s="45"/>
      <c r="M18" s="7"/>
      <c r="N18" s="45"/>
      <c r="O18" s="45"/>
      <c r="P18" s="45"/>
      <c r="Q18" s="7"/>
      <c r="R18" s="7"/>
      <c r="S18" s="45"/>
      <c r="T18" s="45"/>
      <c r="U18" s="7">
        <f t="shared" si="4"/>
        <v>0</v>
      </c>
      <c r="V18" s="45"/>
      <c r="W18" s="2"/>
      <c r="X18" s="2">
        <f t="shared" si="3"/>
        <v>0</v>
      </c>
      <c r="AA18" s="76">
        <v>340</v>
      </c>
      <c r="AB18" s="76" t="s">
        <v>1990</v>
      </c>
      <c r="AC18" s="77">
        <f t="shared" si="0"/>
        <v>0</v>
      </c>
      <c r="AE18" s="76" t="s">
        <v>2004</v>
      </c>
      <c r="AF18" s="76" t="s">
        <v>2013</v>
      </c>
      <c r="AG18" s="79">
        <v>39200199</v>
      </c>
      <c r="AH18" s="77">
        <f>SUMIF(AB:AB,AG18,AC:AC)</f>
        <v>86805.920000000013</v>
      </c>
    </row>
    <row r="19" spans="1:34" ht="15.5" x14ac:dyDescent="0.35">
      <c r="A19" s="20" t="s">
        <v>2014</v>
      </c>
      <c r="B19" s="20" t="s">
        <v>2015</v>
      </c>
      <c r="E19" s="8">
        <f>(100/38)/100</f>
        <v>2.6315789473684213E-2</v>
      </c>
      <c r="F19" s="8" t="s">
        <v>1997</v>
      </c>
      <c r="G19" s="7">
        <v>469000</v>
      </c>
      <c r="H19" s="7"/>
      <c r="I19" s="7"/>
      <c r="J19" s="7"/>
      <c r="K19" s="7"/>
      <c r="L19" s="7"/>
      <c r="M19" s="7">
        <f>SUM(G19:L19)</f>
        <v>469000</v>
      </c>
      <c r="N19" s="7">
        <v>24684.11</v>
      </c>
      <c r="O19" s="7"/>
      <c r="P19" s="7"/>
      <c r="Q19" s="7">
        <f>ROUND(M19*E19,2)</f>
        <v>12342.11</v>
      </c>
      <c r="R19" s="7"/>
      <c r="S19" s="7"/>
      <c r="T19" s="7">
        <f>SUM(N19:S19)</f>
        <v>37026.22</v>
      </c>
      <c r="U19" s="7">
        <f t="shared" si="4"/>
        <v>444315.89</v>
      </c>
      <c r="V19" s="7">
        <f>M19-T19</f>
        <v>431973.78</v>
      </c>
      <c r="W19" s="2"/>
      <c r="X19" s="2">
        <f t="shared" si="3"/>
        <v>12342.11</v>
      </c>
      <c r="Y19" s="20">
        <v>328</v>
      </c>
      <c r="AA19" s="76">
        <v>342</v>
      </c>
      <c r="AB19" s="76" t="s">
        <v>1990</v>
      </c>
      <c r="AC19" s="77">
        <f t="shared" si="0"/>
        <v>0</v>
      </c>
      <c r="AE19" s="76"/>
      <c r="AF19" s="76"/>
      <c r="AG19" s="79"/>
      <c r="AH19" s="77"/>
    </row>
    <row r="20" spans="1:34" ht="15.5" x14ac:dyDescent="0.35">
      <c r="E20" s="46"/>
      <c r="F20" s="46"/>
      <c r="G20" s="47">
        <v>3797406.6</v>
      </c>
      <c r="H20" s="47">
        <f t="shared" ref="H20:M20" si="5">SUM(H12:H19)</f>
        <v>0</v>
      </c>
      <c r="I20" s="47">
        <f t="shared" si="5"/>
        <v>0</v>
      </c>
      <c r="J20" s="47">
        <f t="shared" si="5"/>
        <v>0</v>
      </c>
      <c r="K20" s="47">
        <f t="shared" si="5"/>
        <v>0</v>
      </c>
      <c r="L20" s="47">
        <f t="shared" si="5"/>
        <v>0</v>
      </c>
      <c r="M20" s="47">
        <f t="shared" si="5"/>
        <v>3797406.6</v>
      </c>
      <c r="N20" s="47">
        <v>170731.34</v>
      </c>
      <c r="O20" s="47">
        <f t="shared" ref="O20:V20" si="6">SUM(O12:O19)</f>
        <v>0</v>
      </c>
      <c r="P20" s="47">
        <f t="shared" si="6"/>
        <v>0</v>
      </c>
      <c r="Q20" s="47">
        <f t="shared" si="6"/>
        <v>103872.34000000001</v>
      </c>
      <c r="R20" s="47">
        <f t="shared" si="6"/>
        <v>0</v>
      </c>
      <c r="S20" s="47">
        <f t="shared" si="6"/>
        <v>0</v>
      </c>
      <c r="T20" s="47">
        <f t="shared" si="6"/>
        <v>274603.68000000005</v>
      </c>
      <c r="U20" s="47">
        <f t="shared" si="6"/>
        <v>3626675.2600000002</v>
      </c>
      <c r="V20" s="47">
        <f t="shared" si="6"/>
        <v>3522802.92</v>
      </c>
      <c r="W20" s="7"/>
      <c r="X20" s="47">
        <f>SUM(X12:X19)</f>
        <v>103872.34000000001</v>
      </c>
      <c r="AA20" s="76">
        <v>343</v>
      </c>
      <c r="AB20" s="76" t="s">
        <v>1990</v>
      </c>
      <c r="AC20" s="77">
        <f t="shared" si="0"/>
        <v>0</v>
      </c>
      <c r="AE20" s="76" t="s">
        <v>2004</v>
      </c>
      <c r="AF20" s="76" t="s">
        <v>1901</v>
      </c>
      <c r="AG20" s="79">
        <v>93050199</v>
      </c>
      <c r="AH20" s="77">
        <f>SUM(AH15:AH18)</f>
        <v>161327.58000000002</v>
      </c>
    </row>
    <row r="21" spans="1:34" ht="15.5" x14ac:dyDescent="0.35">
      <c r="C21" s="20" t="s">
        <v>2016</v>
      </c>
      <c r="E21" s="46"/>
      <c r="F21" s="46"/>
      <c r="G21" s="45"/>
      <c r="H21" s="45"/>
      <c r="I21" s="45"/>
      <c r="J21" s="45"/>
      <c r="K21" s="45"/>
      <c r="L21" s="45"/>
      <c r="M21" s="45"/>
      <c r="N21" s="45"/>
      <c r="O21" s="45"/>
      <c r="P21" s="45"/>
      <c r="Q21" s="45"/>
      <c r="R21" s="45"/>
      <c r="S21" s="45"/>
      <c r="T21" s="45"/>
      <c r="U21" s="45"/>
      <c r="V21" s="45"/>
      <c r="W21" s="2"/>
      <c r="X21" s="2"/>
      <c r="AA21" s="76">
        <v>349</v>
      </c>
      <c r="AB21" s="76" t="s">
        <v>1990</v>
      </c>
      <c r="AC21" s="77">
        <f t="shared" si="0"/>
        <v>0</v>
      </c>
      <c r="AE21" s="76" t="s">
        <v>1977</v>
      </c>
      <c r="AF21" s="76" t="s">
        <v>2017</v>
      </c>
      <c r="AG21" s="79">
        <v>44999999</v>
      </c>
      <c r="AH21" s="77">
        <f>AH20</f>
        <v>161327.58000000002</v>
      </c>
    </row>
    <row r="22" spans="1:34" ht="15.5" x14ac:dyDescent="0.35">
      <c r="A22" s="37" t="s">
        <v>1980</v>
      </c>
      <c r="E22" s="46"/>
      <c r="F22" s="46"/>
      <c r="G22" s="45"/>
      <c r="H22" s="45"/>
      <c r="I22" s="45"/>
      <c r="J22" s="45"/>
      <c r="K22" s="45"/>
      <c r="L22" s="45"/>
      <c r="M22" s="45"/>
      <c r="N22" s="45"/>
      <c r="O22" s="45"/>
      <c r="P22" s="45"/>
      <c r="Q22" s="45"/>
      <c r="R22" s="45"/>
      <c r="S22" s="45"/>
      <c r="T22" s="45"/>
      <c r="U22" s="45"/>
      <c r="V22" s="45"/>
      <c r="W22" s="2"/>
      <c r="X22" s="2"/>
      <c r="AA22" s="76">
        <v>359</v>
      </c>
      <c r="AB22" s="76" t="s">
        <v>1990</v>
      </c>
      <c r="AC22" s="77">
        <f t="shared" si="0"/>
        <v>1658.5</v>
      </c>
    </row>
    <row r="23" spans="1:34" s="48" customFormat="1" ht="15.5" x14ac:dyDescent="0.35">
      <c r="A23" s="48" t="s">
        <v>2018</v>
      </c>
      <c r="C23" s="49">
        <v>33512</v>
      </c>
      <c r="D23" s="49"/>
      <c r="E23" s="50">
        <v>0.2</v>
      </c>
      <c r="F23" s="50" t="s">
        <v>2019</v>
      </c>
      <c r="G23" s="51">
        <v>0</v>
      </c>
      <c r="H23" s="51"/>
      <c r="I23" s="51"/>
      <c r="J23" s="51"/>
      <c r="K23" s="51"/>
      <c r="L23" s="51"/>
      <c r="M23" s="51">
        <f t="shared" ref="M23:M29" si="7">SUM(G23:L23)</f>
        <v>0</v>
      </c>
      <c r="N23" s="51">
        <v>0</v>
      </c>
      <c r="O23" s="51"/>
      <c r="P23" s="51"/>
      <c r="Q23" s="51"/>
      <c r="R23" s="51"/>
      <c r="S23" s="51"/>
      <c r="T23" s="51">
        <f t="shared" ref="T23:T29" si="8">SUM(N23:S23)</f>
        <v>0</v>
      </c>
      <c r="U23" s="7">
        <f t="shared" ref="U23:U29" si="9">G23-N23</f>
        <v>0</v>
      </c>
      <c r="V23" s="51">
        <f t="shared" ref="V23:V29" si="10">M23-T23</f>
        <v>0</v>
      </c>
      <c r="W23" s="51"/>
      <c r="X23" s="51">
        <f t="shared" ref="X23:X29" si="11">SUM(Q23:R23)</f>
        <v>0</v>
      </c>
      <c r="Y23" s="48">
        <v>399</v>
      </c>
      <c r="AA23" s="76">
        <v>399</v>
      </c>
      <c r="AB23" s="76" t="s">
        <v>1990</v>
      </c>
      <c r="AC23" s="77">
        <f t="shared" si="0"/>
        <v>16306.65</v>
      </c>
    </row>
    <row r="24" spans="1:34" s="48" customFormat="1" ht="15.5" x14ac:dyDescent="0.35">
      <c r="A24" s="48" t="s">
        <v>2020</v>
      </c>
      <c r="C24" s="49">
        <v>36314</v>
      </c>
      <c r="D24" s="49"/>
      <c r="E24" s="50">
        <v>0.2</v>
      </c>
      <c r="F24" s="50" t="s">
        <v>2019</v>
      </c>
      <c r="G24" s="51">
        <v>0</v>
      </c>
      <c r="H24" s="51"/>
      <c r="I24" s="51"/>
      <c r="J24" s="51"/>
      <c r="K24" s="51"/>
      <c r="L24" s="51"/>
      <c r="M24" s="51">
        <f t="shared" si="7"/>
        <v>0</v>
      </c>
      <c r="N24" s="51">
        <v>0</v>
      </c>
      <c r="O24" s="51"/>
      <c r="P24" s="51"/>
      <c r="Q24" s="51"/>
      <c r="R24" s="51"/>
      <c r="S24" s="51"/>
      <c r="T24" s="51">
        <f t="shared" si="8"/>
        <v>0</v>
      </c>
      <c r="U24" s="7">
        <f t="shared" si="9"/>
        <v>0</v>
      </c>
      <c r="V24" s="51">
        <f t="shared" si="10"/>
        <v>0</v>
      </c>
      <c r="W24" s="51"/>
      <c r="X24" s="51">
        <f t="shared" si="11"/>
        <v>0</v>
      </c>
      <c r="Y24" s="48">
        <v>399</v>
      </c>
      <c r="AA24" s="76">
        <v>401</v>
      </c>
      <c r="AB24" s="76" t="s">
        <v>2021</v>
      </c>
      <c r="AC24" s="77">
        <f t="shared" si="0"/>
        <v>4416.67</v>
      </c>
    </row>
    <row r="25" spans="1:34" ht="15.5" x14ac:dyDescent="0.35">
      <c r="A25" s="20" t="s">
        <v>2022</v>
      </c>
      <c r="C25" s="52">
        <v>36713</v>
      </c>
      <c r="D25" s="52"/>
      <c r="E25" s="40">
        <v>0.2</v>
      </c>
      <c r="F25" s="40" t="s">
        <v>2019</v>
      </c>
      <c r="G25" s="7">
        <v>8750</v>
      </c>
      <c r="H25" s="7"/>
      <c r="I25" s="7"/>
      <c r="J25" s="7"/>
      <c r="K25" s="7"/>
      <c r="L25" s="7"/>
      <c r="M25" s="7">
        <f t="shared" si="7"/>
        <v>8750</v>
      </c>
      <c r="N25" s="7">
        <v>8750</v>
      </c>
      <c r="O25" s="7"/>
      <c r="P25" s="7"/>
      <c r="Q25" s="7"/>
      <c r="R25" s="7"/>
      <c r="S25" s="7"/>
      <c r="T25" s="7">
        <f t="shared" si="8"/>
        <v>8750</v>
      </c>
      <c r="U25" s="7">
        <f t="shared" si="9"/>
        <v>0</v>
      </c>
      <c r="V25" s="7">
        <f t="shared" si="10"/>
        <v>0</v>
      </c>
      <c r="W25" s="2"/>
      <c r="X25" s="2">
        <f t="shared" si="11"/>
        <v>0</v>
      </c>
      <c r="Y25" s="20">
        <v>399</v>
      </c>
      <c r="AA25" s="76">
        <v>499</v>
      </c>
      <c r="AB25" s="76" t="s">
        <v>2021</v>
      </c>
      <c r="AC25" s="77">
        <f t="shared" si="0"/>
        <v>9074.39</v>
      </c>
    </row>
    <row r="26" spans="1:34" ht="15.5" x14ac:dyDescent="0.35">
      <c r="A26" s="20" t="s">
        <v>2023</v>
      </c>
      <c r="C26" s="52">
        <v>37389</v>
      </c>
      <c r="D26" s="52"/>
      <c r="E26" s="40">
        <v>0.2</v>
      </c>
      <c r="F26" s="40" t="s">
        <v>2019</v>
      </c>
      <c r="G26" s="7">
        <v>7650</v>
      </c>
      <c r="H26" s="7"/>
      <c r="I26" s="7"/>
      <c r="J26" s="7"/>
      <c r="K26" s="7"/>
      <c r="L26" s="7"/>
      <c r="M26" s="7">
        <f t="shared" si="7"/>
        <v>7650</v>
      </c>
      <c r="N26" s="7">
        <v>8415</v>
      </c>
      <c r="O26" s="7"/>
      <c r="P26" s="7"/>
      <c r="Q26" s="7"/>
      <c r="R26" s="7">
        <v>-765</v>
      </c>
      <c r="S26" s="7"/>
      <c r="T26" s="7">
        <f t="shared" si="8"/>
        <v>7650</v>
      </c>
      <c r="U26" s="7">
        <f t="shared" si="9"/>
        <v>-765</v>
      </c>
      <c r="V26" s="7">
        <f t="shared" si="10"/>
        <v>0</v>
      </c>
      <c r="W26" s="2"/>
      <c r="X26" s="2">
        <f t="shared" si="11"/>
        <v>-765</v>
      </c>
      <c r="Y26" s="20">
        <v>399</v>
      </c>
      <c r="AA26" s="76" t="s">
        <v>2024</v>
      </c>
      <c r="AB26" s="76" t="s">
        <v>2021</v>
      </c>
      <c r="AC26" s="77">
        <f t="shared" si="0"/>
        <v>4955</v>
      </c>
    </row>
    <row r="27" spans="1:34" s="53" customFormat="1" ht="15.5" x14ac:dyDescent="0.35">
      <c r="A27" s="53" t="s">
        <v>2025</v>
      </c>
      <c r="C27" s="54">
        <v>39534</v>
      </c>
      <c r="D27" s="54"/>
      <c r="E27" s="55">
        <v>0.2</v>
      </c>
      <c r="F27" s="55" t="s">
        <v>2019</v>
      </c>
      <c r="G27" s="56">
        <v>6495</v>
      </c>
      <c r="H27" s="56"/>
      <c r="I27" s="56"/>
      <c r="J27" s="56"/>
      <c r="K27" s="56"/>
      <c r="L27" s="56"/>
      <c r="M27" s="56">
        <f t="shared" si="7"/>
        <v>6495</v>
      </c>
      <c r="N27" s="56">
        <v>1299</v>
      </c>
      <c r="O27" s="56"/>
      <c r="P27" s="56"/>
      <c r="Q27" s="56">
        <f>ROUND(M27*E27,2)</f>
        <v>1299</v>
      </c>
      <c r="R27" s="56"/>
      <c r="S27" s="56"/>
      <c r="T27" s="56">
        <f t="shared" si="8"/>
        <v>2598</v>
      </c>
      <c r="U27" s="7">
        <f t="shared" si="9"/>
        <v>5196</v>
      </c>
      <c r="V27" s="56">
        <f t="shared" si="10"/>
        <v>3897</v>
      </c>
      <c r="W27" s="56"/>
      <c r="X27" s="56">
        <f t="shared" si="11"/>
        <v>1299</v>
      </c>
      <c r="Y27" s="53">
        <v>399</v>
      </c>
      <c r="AA27" s="76" t="s">
        <v>2007</v>
      </c>
      <c r="AB27" s="76" t="s">
        <v>1990</v>
      </c>
      <c r="AC27" s="77">
        <f t="shared" si="0"/>
        <v>12596.24</v>
      </c>
    </row>
    <row r="28" spans="1:34" s="53" customFormat="1" ht="15.5" x14ac:dyDescent="0.35">
      <c r="A28" s="53" t="s">
        <v>2026</v>
      </c>
      <c r="C28" s="54">
        <v>39198</v>
      </c>
      <c r="D28" s="54"/>
      <c r="E28" s="55">
        <v>0.2</v>
      </c>
      <c r="F28" s="55" t="s">
        <v>2019</v>
      </c>
      <c r="G28" s="56">
        <v>6698.25</v>
      </c>
      <c r="H28" s="56"/>
      <c r="I28" s="56"/>
      <c r="J28" s="56"/>
      <c r="K28" s="56"/>
      <c r="L28" s="56"/>
      <c r="M28" s="56">
        <f t="shared" si="7"/>
        <v>6698.25</v>
      </c>
      <c r="N28" s="56">
        <v>1339.65</v>
      </c>
      <c r="O28" s="56"/>
      <c r="P28" s="56"/>
      <c r="Q28" s="56">
        <f>ROUND(M28*E28,2)</f>
        <v>1339.65</v>
      </c>
      <c r="R28" s="56"/>
      <c r="S28" s="56"/>
      <c r="T28" s="56">
        <f t="shared" si="8"/>
        <v>2679.3</v>
      </c>
      <c r="U28" s="7">
        <f t="shared" si="9"/>
        <v>5358.6</v>
      </c>
      <c r="V28" s="56">
        <f t="shared" si="10"/>
        <v>4018.95</v>
      </c>
      <c r="W28" s="56"/>
      <c r="X28" s="56">
        <f t="shared" si="11"/>
        <v>1339.65</v>
      </c>
      <c r="Y28" s="53">
        <v>399</v>
      </c>
      <c r="AA28" s="76" t="s">
        <v>2027</v>
      </c>
      <c r="AB28" s="76" t="s">
        <v>1990</v>
      </c>
      <c r="AC28" s="77">
        <f t="shared" si="0"/>
        <v>35802.550000000003</v>
      </c>
    </row>
    <row r="29" spans="1:34" s="53" customFormat="1" ht="15.5" x14ac:dyDescent="0.35">
      <c r="A29" s="53" t="s">
        <v>2028</v>
      </c>
      <c r="D29" s="54"/>
      <c r="E29" s="55">
        <v>0.2</v>
      </c>
      <c r="F29" s="55" t="s">
        <v>2019</v>
      </c>
      <c r="G29" s="56">
        <v>11150</v>
      </c>
      <c r="H29" s="57"/>
      <c r="I29" s="57"/>
      <c r="J29" s="57"/>
      <c r="K29" s="57"/>
      <c r="L29" s="57"/>
      <c r="M29" s="56">
        <f t="shared" si="7"/>
        <v>11150</v>
      </c>
      <c r="N29" s="56">
        <v>2230</v>
      </c>
      <c r="O29" s="56"/>
      <c r="P29" s="56"/>
      <c r="Q29" s="56">
        <f>ROUND(M29*E29,2)</f>
        <v>2230</v>
      </c>
      <c r="R29" s="56"/>
      <c r="S29" s="57"/>
      <c r="T29" s="56">
        <f t="shared" si="8"/>
        <v>4460</v>
      </c>
      <c r="U29" s="7">
        <f t="shared" si="9"/>
        <v>8920</v>
      </c>
      <c r="V29" s="56">
        <f t="shared" si="10"/>
        <v>6690</v>
      </c>
      <c r="W29" s="56"/>
      <c r="X29" s="56">
        <f t="shared" si="11"/>
        <v>2230</v>
      </c>
      <c r="Y29" s="53">
        <v>399</v>
      </c>
      <c r="AC29" s="77">
        <f>SUM(AC8:AC28)</f>
        <v>161327.58000000002</v>
      </c>
    </row>
    <row r="30" spans="1:34" x14ac:dyDescent="0.25">
      <c r="E30" s="44"/>
      <c r="F30" s="44"/>
      <c r="G30" s="47">
        <v>40743.25</v>
      </c>
      <c r="H30" s="47">
        <f t="shared" ref="H30:V30" si="12">SUM(H23:H29)</f>
        <v>0</v>
      </c>
      <c r="I30" s="47">
        <f t="shared" si="12"/>
        <v>0</v>
      </c>
      <c r="J30" s="47">
        <f t="shared" si="12"/>
        <v>0</v>
      </c>
      <c r="K30" s="47">
        <f t="shared" si="12"/>
        <v>0</v>
      </c>
      <c r="L30" s="47">
        <f t="shared" si="12"/>
        <v>0</v>
      </c>
      <c r="M30" s="47">
        <f t="shared" si="12"/>
        <v>40743.25</v>
      </c>
      <c r="N30" s="47">
        <v>22033.65</v>
      </c>
      <c r="O30" s="47">
        <f t="shared" si="12"/>
        <v>0</v>
      </c>
      <c r="P30" s="47">
        <f t="shared" si="12"/>
        <v>0</v>
      </c>
      <c r="Q30" s="47">
        <f t="shared" si="12"/>
        <v>4868.6499999999996</v>
      </c>
      <c r="R30" s="47">
        <f t="shared" si="12"/>
        <v>-765</v>
      </c>
      <c r="S30" s="47">
        <f t="shared" si="12"/>
        <v>0</v>
      </c>
      <c r="T30" s="47">
        <f t="shared" si="12"/>
        <v>26137.3</v>
      </c>
      <c r="U30" s="47">
        <f t="shared" si="12"/>
        <v>18709.599999999999</v>
      </c>
      <c r="V30" s="47">
        <f t="shared" si="12"/>
        <v>14605.95</v>
      </c>
      <c r="W30" s="7"/>
      <c r="X30" s="47">
        <f>SUM(X23:X29)</f>
        <v>4103.6499999999996</v>
      </c>
    </row>
    <row r="31" spans="1:34" x14ac:dyDescent="0.25">
      <c r="E31" s="46"/>
      <c r="F31" s="46"/>
      <c r="G31" s="45"/>
      <c r="H31" s="45"/>
      <c r="I31" s="45"/>
      <c r="J31" s="45"/>
      <c r="K31" s="45"/>
      <c r="L31" s="45"/>
      <c r="M31" s="45"/>
      <c r="N31" s="45"/>
      <c r="O31" s="45"/>
      <c r="P31" s="45"/>
      <c r="Q31" s="45"/>
      <c r="R31" s="45"/>
      <c r="S31" s="45"/>
      <c r="T31" s="45"/>
      <c r="U31" s="45"/>
      <c r="V31" s="45"/>
      <c r="W31" s="2"/>
      <c r="X31" s="2"/>
    </row>
    <row r="32" spans="1:34" ht="13" x14ac:dyDescent="0.3">
      <c r="A32" s="37" t="s">
        <v>1991</v>
      </c>
      <c r="D32" s="46" t="s">
        <v>2029</v>
      </c>
      <c r="E32" s="46"/>
      <c r="F32" s="46"/>
      <c r="G32" s="7"/>
      <c r="H32" s="7"/>
      <c r="I32" s="7"/>
      <c r="J32" s="7"/>
      <c r="K32" s="7"/>
      <c r="L32" s="7"/>
      <c r="M32" s="7"/>
      <c r="N32" s="7"/>
      <c r="O32" s="7"/>
      <c r="P32" s="7"/>
      <c r="Q32" s="7"/>
      <c r="R32" s="7"/>
      <c r="S32" s="7"/>
      <c r="T32" s="7"/>
      <c r="U32" s="7"/>
      <c r="V32" s="7"/>
      <c r="W32" s="2"/>
      <c r="X32" s="2"/>
    </row>
    <row r="33" spans="1:25" ht="14" x14ac:dyDescent="0.3">
      <c r="A33" s="58" t="s">
        <v>2030</v>
      </c>
      <c r="C33" s="59">
        <v>38579</v>
      </c>
      <c r="D33" s="58" t="s">
        <v>1996</v>
      </c>
      <c r="E33" s="46">
        <v>0.2</v>
      </c>
      <c r="F33" s="46" t="s">
        <v>2031</v>
      </c>
      <c r="G33" s="7">
        <v>9156</v>
      </c>
      <c r="H33" s="45"/>
      <c r="I33" s="45"/>
      <c r="J33" s="45"/>
      <c r="K33" s="45"/>
      <c r="L33" s="45"/>
      <c r="M33" s="7">
        <f>SUM(G33:L33)</f>
        <v>9156</v>
      </c>
      <c r="N33" s="7">
        <v>5493.2</v>
      </c>
      <c r="O33" s="7"/>
      <c r="P33" s="7"/>
      <c r="Q33" s="7">
        <f>ROUND(M33*E33,2)</f>
        <v>1831.2</v>
      </c>
      <c r="R33" s="7"/>
      <c r="S33" s="45"/>
      <c r="T33" s="7">
        <f>SUM(N33:S33)</f>
        <v>7324.4</v>
      </c>
      <c r="U33" s="7">
        <f>G33-N33</f>
        <v>3662.8</v>
      </c>
      <c r="V33" s="7">
        <f>M33-T33</f>
        <v>1831.6000000000004</v>
      </c>
      <c r="W33" s="7"/>
      <c r="X33" s="7">
        <f>SUM(Q33:R33)</f>
        <v>1831.2</v>
      </c>
      <c r="Y33" s="20">
        <v>499</v>
      </c>
    </row>
    <row r="34" spans="1:25" x14ac:dyDescent="0.25">
      <c r="E34" s="46"/>
      <c r="F34" s="46"/>
      <c r="G34" s="7"/>
      <c r="H34" s="45"/>
      <c r="I34" s="45"/>
      <c r="J34" s="45"/>
      <c r="K34" s="45"/>
      <c r="L34" s="45"/>
      <c r="M34" s="7"/>
      <c r="N34" s="7"/>
      <c r="O34" s="7"/>
      <c r="P34" s="7"/>
      <c r="Q34" s="7"/>
      <c r="R34" s="7"/>
      <c r="S34" s="45"/>
      <c r="T34" s="7"/>
      <c r="U34" s="7">
        <f>G34-N34</f>
        <v>0</v>
      </c>
      <c r="V34" s="7"/>
      <c r="W34" s="2"/>
      <c r="X34" s="2"/>
    </row>
    <row r="35" spans="1:25" x14ac:dyDescent="0.25">
      <c r="E35" s="44"/>
      <c r="F35" s="44"/>
      <c r="G35" s="47">
        <v>9156</v>
      </c>
      <c r="H35" s="47">
        <f>SUM(H33:H34)</f>
        <v>0</v>
      </c>
      <c r="I35" s="47">
        <f>SUM(I33:I34)</f>
        <v>0</v>
      </c>
      <c r="J35" s="47"/>
      <c r="K35" s="47"/>
      <c r="L35" s="47">
        <f t="shared" ref="L35:V35" si="13">SUM(L33:L34)</f>
        <v>0</v>
      </c>
      <c r="M35" s="47">
        <f t="shared" si="13"/>
        <v>9156</v>
      </c>
      <c r="N35" s="47">
        <v>5493.2</v>
      </c>
      <c r="O35" s="47">
        <f t="shared" si="13"/>
        <v>0</v>
      </c>
      <c r="P35" s="47">
        <f t="shared" si="13"/>
        <v>0</v>
      </c>
      <c r="Q35" s="47">
        <f t="shared" si="13"/>
        <v>1831.2</v>
      </c>
      <c r="R35" s="47">
        <f t="shared" si="13"/>
        <v>0</v>
      </c>
      <c r="S35" s="47">
        <f t="shared" si="13"/>
        <v>0</v>
      </c>
      <c r="T35" s="47">
        <f t="shared" si="13"/>
        <v>7324.4</v>
      </c>
      <c r="U35" s="47">
        <f t="shared" si="13"/>
        <v>3662.8</v>
      </c>
      <c r="V35" s="60">
        <f t="shared" si="13"/>
        <v>1831.6000000000004</v>
      </c>
      <c r="W35" s="2"/>
      <c r="X35" s="47">
        <f>SUM(X33:X34)</f>
        <v>1831.2</v>
      </c>
    </row>
    <row r="36" spans="1:25" x14ac:dyDescent="0.25">
      <c r="E36" s="44"/>
      <c r="F36" s="44"/>
      <c r="G36" s="45"/>
      <c r="H36" s="45"/>
      <c r="I36" s="45"/>
      <c r="J36" s="45"/>
      <c r="K36" s="45"/>
      <c r="L36" s="45"/>
      <c r="M36" s="45"/>
      <c r="N36" s="45"/>
      <c r="O36" s="45"/>
      <c r="P36" s="45"/>
      <c r="Q36" s="45"/>
      <c r="R36" s="45"/>
      <c r="S36" s="45"/>
      <c r="T36" s="45"/>
      <c r="U36" s="45"/>
      <c r="V36" s="45"/>
      <c r="W36" s="2"/>
      <c r="X36" s="2"/>
    </row>
    <row r="37" spans="1:25" ht="13" x14ac:dyDescent="0.3">
      <c r="A37" s="37" t="s">
        <v>1993</v>
      </c>
      <c r="G37" s="7"/>
      <c r="H37" s="7"/>
      <c r="I37" s="7"/>
      <c r="J37" s="7"/>
      <c r="K37" s="7"/>
      <c r="L37" s="7"/>
      <c r="M37" s="7"/>
      <c r="N37" s="7"/>
      <c r="O37" s="7"/>
      <c r="P37" s="7"/>
      <c r="Q37" s="7"/>
      <c r="R37" s="7"/>
      <c r="S37" s="7"/>
      <c r="T37" s="7"/>
      <c r="U37" s="7"/>
      <c r="V37" s="7"/>
      <c r="W37" s="2"/>
      <c r="X37" s="2"/>
    </row>
    <row r="38" spans="1:25" ht="14" x14ac:dyDescent="0.3">
      <c r="A38" s="58" t="s">
        <v>354</v>
      </c>
      <c r="C38" s="52">
        <v>39063</v>
      </c>
      <c r="D38" s="58" t="s">
        <v>2032</v>
      </c>
      <c r="E38" s="46">
        <v>0.25</v>
      </c>
      <c r="F38" s="46" t="s">
        <v>2033</v>
      </c>
      <c r="G38" s="7">
        <v>19820</v>
      </c>
      <c r="H38" s="7"/>
      <c r="I38" s="7"/>
      <c r="J38" s="7"/>
      <c r="K38" s="7"/>
      <c r="L38" s="7"/>
      <c r="M38" s="7">
        <f>SUM(G38:L38)</f>
        <v>19820</v>
      </c>
      <c r="N38" s="7">
        <v>9910</v>
      </c>
      <c r="O38" s="7"/>
      <c r="P38" s="7"/>
      <c r="Q38" s="7">
        <f>ROUND(M38*E38,2)</f>
        <v>4955</v>
      </c>
      <c r="R38" s="7"/>
      <c r="S38" s="7"/>
      <c r="T38" s="7">
        <f>SUM(N38:S38)</f>
        <v>14865</v>
      </c>
      <c r="U38" s="7">
        <f>G38-N38</f>
        <v>9910</v>
      </c>
      <c r="V38" s="7">
        <f>M38-T38</f>
        <v>4955</v>
      </c>
      <c r="W38" s="2"/>
      <c r="X38" s="2">
        <f>SUM(Q38:R38)</f>
        <v>4955</v>
      </c>
      <c r="Y38" s="20" t="s">
        <v>2034</v>
      </c>
    </row>
    <row r="39" spans="1:25" s="53" customFormat="1" ht="14" x14ac:dyDescent="0.3">
      <c r="A39" s="61" t="s">
        <v>2035</v>
      </c>
      <c r="C39" s="54">
        <v>39416</v>
      </c>
      <c r="D39" s="61" t="s">
        <v>2036</v>
      </c>
      <c r="E39" s="62">
        <v>0.2</v>
      </c>
      <c r="F39" s="62" t="s">
        <v>2033</v>
      </c>
      <c r="G39" s="56">
        <v>29878</v>
      </c>
      <c r="H39" s="56"/>
      <c r="I39" s="56"/>
      <c r="J39" s="56"/>
      <c r="K39" s="56"/>
      <c r="L39" s="56"/>
      <c r="M39" s="56">
        <f>SUM(G39:L39)</f>
        <v>29878</v>
      </c>
      <c r="N39" s="56">
        <v>5975.6</v>
      </c>
      <c r="O39" s="56"/>
      <c r="P39" s="56"/>
      <c r="Q39" s="56">
        <f>ROUND(M39*E39,2)</f>
        <v>5975.6</v>
      </c>
      <c r="R39" s="56"/>
      <c r="S39" s="56"/>
      <c r="T39" s="56">
        <f>SUM(N39:S39)</f>
        <v>11951.2</v>
      </c>
      <c r="U39" s="7">
        <f>G39-N39</f>
        <v>23902.400000000001</v>
      </c>
      <c r="V39" s="56">
        <f>M39-T39</f>
        <v>17926.8</v>
      </c>
      <c r="W39" s="56"/>
      <c r="X39" s="56">
        <f>SUM(Q39:R39)</f>
        <v>5975.6</v>
      </c>
      <c r="Y39" s="53">
        <v>299</v>
      </c>
    </row>
    <row r="40" spans="1:25" s="53" customFormat="1" ht="14" x14ac:dyDescent="0.3">
      <c r="A40" s="61" t="s">
        <v>2037</v>
      </c>
      <c r="C40" s="54">
        <v>39437</v>
      </c>
      <c r="D40" s="61" t="s">
        <v>2038</v>
      </c>
      <c r="E40" s="62">
        <v>0.2</v>
      </c>
      <c r="F40" s="62" t="s">
        <v>2033</v>
      </c>
      <c r="G40" s="56">
        <v>15887</v>
      </c>
      <c r="H40" s="56"/>
      <c r="I40" s="56"/>
      <c r="J40" s="56"/>
      <c r="K40" s="56"/>
      <c r="L40" s="56"/>
      <c r="M40" s="56">
        <f>SUM(G40:L40)</f>
        <v>15887</v>
      </c>
      <c r="N40" s="56">
        <v>3177.4</v>
      </c>
      <c r="O40" s="56"/>
      <c r="P40" s="56"/>
      <c r="Q40" s="56">
        <f>ROUND(M40*E40,2)</f>
        <v>3177.4</v>
      </c>
      <c r="R40" s="56"/>
      <c r="S40" s="56"/>
      <c r="T40" s="56">
        <f>SUM(N40:S40)</f>
        <v>6354.8</v>
      </c>
      <c r="U40" s="7">
        <f>G40-N40</f>
        <v>12709.6</v>
      </c>
      <c r="V40" s="56">
        <f>M40-T40</f>
        <v>9532.2000000000007</v>
      </c>
      <c r="W40" s="56"/>
      <c r="X40" s="56">
        <f>SUM(Q40:R40)</f>
        <v>3177.4</v>
      </c>
      <c r="Y40" s="53">
        <v>326</v>
      </c>
    </row>
    <row r="41" spans="1:25" s="41" customFormat="1" ht="14" x14ac:dyDescent="0.3">
      <c r="A41" s="63" t="s">
        <v>2039</v>
      </c>
      <c r="C41" s="64"/>
      <c r="D41" s="63" t="s">
        <v>2010</v>
      </c>
      <c r="E41" s="65">
        <f>1/20</f>
        <v>0.05</v>
      </c>
      <c r="F41" s="65" t="s">
        <v>2033</v>
      </c>
      <c r="G41" s="43">
        <v>108735.05</v>
      </c>
      <c r="H41" s="43"/>
      <c r="I41" s="43"/>
      <c r="J41" s="43"/>
      <c r="K41" s="43"/>
      <c r="L41" s="43"/>
      <c r="M41" s="43">
        <f>SUM(G41:L41)</f>
        <v>108735.05</v>
      </c>
      <c r="N41" s="43">
        <v>5436.75</v>
      </c>
      <c r="O41" s="43"/>
      <c r="P41" s="43"/>
      <c r="Q41" s="43">
        <f>ROUND(M41*E41,2)</f>
        <v>5436.75</v>
      </c>
      <c r="R41" s="43"/>
      <c r="S41" s="43"/>
      <c r="T41" s="43">
        <f>SUM(N41:S41)</f>
        <v>10873.5</v>
      </c>
      <c r="U41" s="7">
        <f>G41-N41</f>
        <v>103298.3</v>
      </c>
      <c r="V41" s="43">
        <f>M41-T41</f>
        <v>97861.55</v>
      </c>
      <c r="W41" s="43"/>
      <c r="X41" s="43">
        <f>SUM(Q41:R41)</f>
        <v>5436.75</v>
      </c>
      <c r="Y41" s="41" t="s">
        <v>2010</v>
      </c>
    </row>
    <row r="42" spans="1:25" s="41" customFormat="1" ht="14" x14ac:dyDescent="0.3">
      <c r="A42" s="63" t="s">
        <v>2040</v>
      </c>
      <c r="C42" s="64"/>
      <c r="D42" s="63" t="s">
        <v>2010</v>
      </c>
      <c r="E42" s="65">
        <f>1/20</f>
        <v>0.05</v>
      </c>
      <c r="F42" s="65" t="s">
        <v>2033</v>
      </c>
      <c r="G42" s="43">
        <v>87750.73</v>
      </c>
      <c r="H42" s="43"/>
      <c r="I42" s="43"/>
      <c r="J42" s="43"/>
      <c r="K42" s="43"/>
      <c r="L42" s="43"/>
      <c r="M42" s="43">
        <f>SUM(G42:L42)</f>
        <v>87750.73</v>
      </c>
      <c r="N42" s="43">
        <v>4387.54</v>
      </c>
      <c r="O42" s="43"/>
      <c r="P42" s="43"/>
      <c r="Q42" s="43">
        <f>ROUND(M42*E42,2)</f>
        <v>4387.54</v>
      </c>
      <c r="R42" s="43"/>
      <c r="S42" s="43"/>
      <c r="T42" s="43">
        <f>SUM(N42:S42)</f>
        <v>8775.08</v>
      </c>
      <c r="U42" s="7">
        <f>G42-N42</f>
        <v>83363.19</v>
      </c>
      <c r="V42" s="43">
        <f>M42-T42</f>
        <v>78975.649999999994</v>
      </c>
      <c r="W42" s="43"/>
      <c r="X42" s="43">
        <f>SUM(Q42:R42)</f>
        <v>4387.54</v>
      </c>
      <c r="Y42" s="41" t="s">
        <v>2010</v>
      </c>
    </row>
    <row r="43" spans="1:25" x14ac:dyDescent="0.25">
      <c r="G43" s="47">
        <v>262070.78</v>
      </c>
      <c r="H43" s="47">
        <f t="shared" ref="H43:V43" si="14">SUM(H38:H42)</f>
        <v>0</v>
      </c>
      <c r="I43" s="47">
        <f t="shared" si="14"/>
        <v>0</v>
      </c>
      <c r="J43" s="47">
        <f t="shared" si="14"/>
        <v>0</v>
      </c>
      <c r="K43" s="47">
        <f t="shared" si="14"/>
        <v>0</v>
      </c>
      <c r="L43" s="47">
        <f t="shared" si="14"/>
        <v>0</v>
      </c>
      <c r="M43" s="47">
        <f t="shared" si="14"/>
        <v>262070.77999999997</v>
      </c>
      <c r="N43" s="47">
        <v>28887.29</v>
      </c>
      <c r="O43" s="47">
        <f t="shared" si="14"/>
        <v>0</v>
      </c>
      <c r="P43" s="47">
        <f t="shared" si="14"/>
        <v>0</v>
      </c>
      <c r="Q43" s="47">
        <f t="shared" si="14"/>
        <v>23932.29</v>
      </c>
      <c r="R43" s="47">
        <f t="shared" si="14"/>
        <v>0</v>
      </c>
      <c r="S43" s="47">
        <f t="shared" si="14"/>
        <v>0</v>
      </c>
      <c r="T43" s="47">
        <f t="shared" si="14"/>
        <v>52819.58</v>
      </c>
      <c r="U43" s="47">
        <f t="shared" si="14"/>
        <v>233183.49</v>
      </c>
      <c r="V43" s="60">
        <f t="shared" si="14"/>
        <v>209251.20000000001</v>
      </c>
      <c r="W43" s="2"/>
      <c r="X43" s="47">
        <f>SUM(X38:X42)</f>
        <v>23932.29</v>
      </c>
    </row>
    <row r="44" spans="1:25" x14ac:dyDescent="0.25">
      <c r="E44" s="44"/>
      <c r="F44" s="44"/>
      <c r="G44" s="45"/>
      <c r="H44" s="45"/>
      <c r="I44" s="45"/>
      <c r="J44" s="45"/>
      <c r="K44" s="45"/>
      <c r="L44" s="45"/>
      <c r="M44" s="45"/>
      <c r="N44" s="45"/>
      <c r="O44" s="45"/>
      <c r="P44" s="45"/>
      <c r="Q44" s="45"/>
      <c r="R44" s="45"/>
      <c r="S44" s="45"/>
      <c r="T44" s="45"/>
      <c r="U44" s="45"/>
      <c r="V44" s="45"/>
      <c r="W44" s="2"/>
      <c r="X44" s="2"/>
    </row>
    <row r="45" spans="1:25" ht="13" x14ac:dyDescent="0.3">
      <c r="A45" s="37" t="s">
        <v>1995</v>
      </c>
      <c r="G45" s="7"/>
      <c r="H45" s="7"/>
      <c r="I45" s="7"/>
      <c r="J45" s="7"/>
      <c r="K45" s="7"/>
      <c r="L45" s="7"/>
      <c r="M45" s="7"/>
      <c r="N45" s="7"/>
      <c r="O45" s="7"/>
      <c r="P45" s="7"/>
      <c r="Q45" s="7"/>
      <c r="R45" s="7"/>
      <c r="S45" s="7"/>
      <c r="T45" s="7"/>
      <c r="U45" s="7"/>
      <c r="V45" s="7"/>
      <c r="W45" s="2"/>
      <c r="X45" s="2"/>
    </row>
    <row r="46" spans="1:25" ht="14" x14ac:dyDescent="0.3">
      <c r="A46" s="58" t="s">
        <v>2041</v>
      </c>
      <c r="C46" s="59">
        <v>33254</v>
      </c>
      <c r="E46" s="40">
        <v>0.2</v>
      </c>
      <c r="F46" s="40" t="s">
        <v>2042</v>
      </c>
      <c r="G46" s="7">
        <v>0</v>
      </c>
      <c r="H46" s="7"/>
      <c r="I46" s="7"/>
      <c r="J46" s="7"/>
      <c r="K46" s="7"/>
      <c r="L46" s="7"/>
      <c r="M46" s="7">
        <f t="shared" ref="M46:M52" si="15">SUM(G46:L46)</f>
        <v>0</v>
      </c>
      <c r="N46" s="7">
        <v>0</v>
      </c>
      <c r="O46" s="7"/>
      <c r="P46" s="7"/>
      <c r="Q46" s="7"/>
      <c r="R46" s="7"/>
      <c r="S46" s="45"/>
      <c r="T46" s="7">
        <f t="shared" ref="T46:T52" si="16">SUM(N46:S46)</f>
        <v>0</v>
      </c>
      <c r="U46" s="7">
        <f t="shared" ref="U46:U52" si="17">G46-N46</f>
        <v>0</v>
      </c>
      <c r="V46" s="7">
        <f t="shared" ref="V46:V52" si="18">M46-T46</f>
        <v>0</v>
      </c>
      <c r="W46" s="2"/>
      <c r="X46" s="2">
        <f t="shared" ref="X46:X53" si="19">SUM(Q46:R46)</f>
        <v>0</v>
      </c>
      <c r="Y46" s="20">
        <v>399</v>
      </c>
    </row>
    <row r="47" spans="1:25" ht="14" x14ac:dyDescent="0.3">
      <c r="A47" s="58" t="s">
        <v>2043</v>
      </c>
      <c r="C47" s="59">
        <v>36395</v>
      </c>
      <c r="E47" s="40">
        <v>0.2</v>
      </c>
      <c r="F47" s="40" t="s">
        <v>2042</v>
      </c>
      <c r="G47" s="7">
        <v>6360.01</v>
      </c>
      <c r="H47" s="7"/>
      <c r="I47" s="7"/>
      <c r="J47" s="7"/>
      <c r="K47" s="7"/>
      <c r="L47" s="7"/>
      <c r="M47" s="7">
        <f t="shared" si="15"/>
        <v>6360.01</v>
      </c>
      <c r="N47" s="7">
        <v>6360.01</v>
      </c>
      <c r="O47" s="7"/>
      <c r="P47" s="7"/>
      <c r="Q47" s="7"/>
      <c r="R47" s="7"/>
      <c r="S47" s="45"/>
      <c r="T47" s="7">
        <f t="shared" si="16"/>
        <v>6360.01</v>
      </c>
      <c r="U47" s="7">
        <f t="shared" si="17"/>
        <v>0</v>
      </c>
      <c r="V47" s="7">
        <f t="shared" si="18"/>
        <v>0</v>
      </c>
      <c r="W47" s="2"/>
      <c r="X47" s="2">
        <f t="shared" si="19"/>
        <v>0</v>
      </c>
      <c r="Y47" s="20">
        <v>399</v>
      </c>
    </row>
    <row r="48" spans="1:25" ht="14" x14ac:dyDescent="0.3">
      <c r="A48" s="58" t="s">
        <v>2044</v>
      </c>
      <c r="C48" s="59">
        <v>33036</v>
      </c>
      <c r="E48" s="40">
        <v>0.2</v>
      </c>
      <c r="F48" s="40" t="s">
        <v>2042</v>
      </c>
      <c r="G48" s="7">
        <v>9500</v>
      </c>
      <c r="H48" s="7"/>
      <c r="I48" s="7"/>
      <c r="J48" s="7"/>
      <c r="K48" s="7"/>
      <c r="L48" s="7"/>
      <c r="M48" s="7">
        <f t="shared" si="15"/>
        <v>9500</v>
      </c>
      <c r="N48" s="7">
        <v>9500</v>
      </c>
      <c r="O48" s="7"/>
      <c r="P48" s="7"/>
      <c r="Q48" s="7"/>
      <c r="R48" s="7"/>
      <c r="S48" s="45"/>
      <c r="T48" s="7">
        <f t="shared" si="16"/>
        <v>9500</v>
      </c>
      <c r="U48" s="7">
        <f t="shared" si="17"/>
        <v>0</v>
      </c>
      <c r="V48" s="7">
        <f t="shared" si="18"/>
        <v>0</v>
      </c>
      <c r="W48" s="2"/>
      <c r="X48" s="2">
        <f t="shared" si="19"/>
        <v>0</v>
      </c>
      <c r="Y48" s="20">
        <v>399</v>
      </c>
    </row>
    <row r="49" spans="1:25" ht="14" x14ac:dyDescent="0.3">
      <c r="A49" s="58" t="s">
        <v>2045</v>
      </c>
      <c r="C49" s="59">
        <v>33288</v>
      </c>
      <c r="E49" s="40">
        <v>0.2</v>
      </c>
      <c r="F49" s="40" t="s">
        <v>2042</v>
      </c>
      <c r="G49" s="7">
        <v>8837</v>
      </c>
      <c r="H49" s="7"/>
      <c r="I49" s="7"/>
      <c r="J49" s="7"/>
      <c r="K49" s="7"/>
      <c r="L49" s="7"/>
      <c r="M49" s="7">
        <f t="shared" si="15"/>
        <v>8837</v>
      </c>
      <c r="N49" s="7">
        <v>8837</v>
      </c>
      <c r="O49" s="7"/>
      <c r="P49" s="7"/>
      <c r="Q49" s="7"/>
      <c r="R49" s="7"/>
      <c r="S49" s="45"/>
      <c r="T49" s="7">
        <f t="shared" si="16"/>
        <v>8837</v>
      </c>
      <c r="U49" s="7">
        <f t="shared" si="17"/>
        <v>0</v>
      </c>
      <c r="V49" s="7">
        <f t="shared" si="18"/>
        <v>0</v>
      </c>
      <c r="W49" s="2"/>
      <c r="X49" s="2">
        <f t="shared" si="19"/>
        <v>0</v>
      </c>
      <c r="Y49" s="20">
        <v>399</v>
      </c>
    </row>
    <row r="50" spans="1:25" ht="14" x14ac:dyDescent="0.3">
      <c r="A50" s="58" t="s">
        <v>2046</v>
      </c>
      <c r="C50" s="59"/>
      <c r="E50" s="40">
        <v>0.2</v>
      </c>
      <c r="F50" s="40" t="s">
        <v>2042</v>
      </c>
      <c r="G50" s="7">
        <v>11100</v>
      </c>
      <c r="H50" s="7"/>
      <c r="I50" s="7"/>
      <c r="J50" s="7"/>
      <c r="K50" s="7"/>
      <c r="L50" s="7"/>
      <c r="M50" s="7">
        <f t="shared" si="15"/>
        <v>11100</v>
      </c>
      <c r="N50" s="7">
        <v>8880</v>
      </c>
      <c r="O50" s="7"/>
      <c r="P50" s="7"/>
      <c r="Q50" s="7">
        <f>ROUND(M50*E50,2)</f>
        <v>2220</v>
      </c>
      <c r="R50" s="7"/>
      <c r="S50" s="45"/>
      <c r="T50" s="7">
        <f t="shared" si="16"/>
        <v>11100</v>
      </c>
      <c r="U50" s="7">
        <f t="shared" si="17"/>
        <v>2220</v>
      </c>
      <c r="V50" s="7">
        <f t="shared" si="18"/>
        <v>0</v>
      </c>
      <c r="W50" s="2"/>
      <c r="X50" s="2">
        <f t="shared" si="19"/>
        <v>2220</v>
      </c>
      <c r="Y50" s="20">
        <v>399</v>
      </c>
    </row>
    <row r="51" spans="1:25" ht="14" x14ac:dyDescent="0.3">
      <c r="A51" s="58" t="s">
        <v>2047</v>
      </c>
      <c r="C51" s="59">
        <v>39154</v>
      </c>
      <c r="E51" s="40">
        <v>0.2</v>
      </c>
      <c r="F51" s="40" t="s">
        <v>2042</v>
      </c>
      <c r="G51" s="7">
        <v>17500</v>
      </c>
      <c r="H51" s="7"/>
      <c r="I51" s="7"/>
      <c r="J51" s="7"/>
      <c r="K51" s="7"/>
      <c r="L51" s="7"/>
      <c r="M51" s="7">
        <f t="shared" si="15"/>
        <v>17500</v>
      </c>
      <c r="N51" s="7">
        <v>7000</v>
      </c>
      <c r="O51" s="7"/>
      <c r="P51" s="7"/>
      <c r="Q51" s="7">
        <f>ROUND(M51*E51,2)</f>
        <v>3500</v>
      </c>
      <c r="R51" s="7"/>
      <c r="S51" s="45"/>
      <c r="T51" s="7">
        <f t="shared" si="16"/>
        <v>10500</v>
      </c>
      <c r="U51" s="7">
        <f t="shared" si="17"/>
        <v>10500</v>
      </c>
      <c r="V51" s="7">
        <f t="shared" si="18"/>
        <v>7000</v>
      </c>
      <c r="W51" s="7"/>
      <c r="X51" s="7">
        <f t="shared" si="19"/>
        <v>3500</v>
      </c>
      <c r="Y51" s="20">
        <v>399</v>
      </c>
    </row>
    <row r="52" spans="1:25" s="53" customFormat="1" ht="14" x14ac:dyDescent="0.3">
      <c r="A52" s="61" t="s">
        <v>2048</v>
      </c>
      <c r="C52" s="66">
        <v>39190</v>
      </c>
      <c r="E52" s="55">
        <v>0.2</v>
      </c>
      <c r="F52" s="55" t="s">
        <v>2042</v>
      </c>
      <c r="G52" s="56">
        <v>25415</v>
      </c>
      <c r="H52" s="56"/>
      <c r="I52" s="56"/>
      <c r="J52" s="56"/>
      <c r="K52" s="56"/>
      <c r="L52" s="56"/>
      <c r="M52" s="56">
        <f t="shared" si="15"/>
        <v>25415</v>
      </c>
      <c r="N52" s="56">
        <v>5083</v>
      </c>
      <c r="O52" s="56"/>
      <c r="P52" s="56"/>
      <c r="Q52" s="56">
        <f>ROUND(M52*E52,2)</f>
        <v>5083</v>
      </c>
      <c r="R52" s="56"/>
      <c r="S52" s="57"/>
      <c r="T52" s="56">
        <f t="shared" si="16"/>
        <v>10166</v>
      </c>
      <c r="U52" s="7">
        <f t="shared" si="17"/>
        <v>20332</v>
      </c>
      <c r="V52" s="56">
        <f t="shared" si="18"/>
        <v>15249</v>
      </c>
      <c r="W52" s="56"/>
      <c r="X52" s="56">
        <f t="shared" si="19"/>
        <v>5083</v>
      </c>
      <c r="Y52" s="53">
        <v>399</v>
      </c>
    </row>
    <row r="53" spans="1:25" x14ac:dyDescent="0.25">
      <c r="G53" s="47">
        <v>78712.009999999995</v>
      </c>
      <c r="H53" s="47">
        <f t="shared" ref="H53:V53" si="20">SUM(H46:H52)</f>
        <v>0</v>
      </c>
      <c r="I53" s="47">
        <f t="shared" si="20"/>
        <v>0</v>
      </c>
      <c r="J53" s="47">
        <f t="shared" si="20"/>
        <v>0</v>
      </c>
      <c r="K53" s="47">
        <f t="shared" si="20"/>
        <v>0</v>
      </c>
      <c r="L53" s="47">
        <f t="shared" si="20"/>
        <v>0</v>
      </c>
      <c r="M53" s="47">
        <f t="shared" si="20"/>
        <v>78712.010000000009</v>
      </c>
      <c r="N53" s="47">
        <v>45660.01</v>
      </c>
      <c r="O53" s="47">
        <f t="shared" si="20"/>
        <v>0</v>
      </c>
      <c r="P53" s="47">
        <f t="shared" si="20"/>
        <v>0</v>
      </c>
      <c r="Q53" s="47">
        <f t="shared" si="20"/>
        <v>10803</v>
      </c>
      <c r="R53" s="47">
        <f t="shared" si="20"/>
        <v>0</v>
      </c>
      <c r="S53" s="47">
        <f t="shared" si="20"/>
        <v>0</v>
      </c>
      <c r="T53" s="47">
        <f t="shared" si="20"/>
        <v>56463.01</v>
      </c>
      <c r="U53" s="47">
        <f t="shared" si="20"/>
        <v>33052</v>
      </c>
      <c r="V53" s="47">
        <f t="shared" si="20"/>
        <v>22249</v>
      </c>
      <c r="W53" s="7"/>
      <c r="X53" s="47">
        <f t="shared" si="19"/>
        <v>10803</v>
      </c>
    </row>
    <row r="54" spans="1:25" x14ac:dyDescent="0.25">
      <c r="G54" s="45"/>
      <c r="H54" s="45"/>
      <c r="I54" s="45"/>
      <c r="J54" s="45"/>
      <c r="K54" s="45"/>
      <c r="L54" s="45"/>
      <c r="M54" s="45"/>
      <c r="N54" s="45"/>
      <c r="O54" s="45"/>
      <c r="P54" s="45"/>
      <c r="Q54" s="45"/>
      <c r="R54" s="45"/>
      <c r="S54" s="45"/>
      <c r="T54" s="45"/>
      <c r="U54" s="45"/>
      <c r="V54" s="45"/>
      <c r="W54" s="2"/>
      <c r="X54" s="2"/>
    </row>
    <row r="55" spans="1:25" ht="13" x14ac:dyDescent="0.3">
      <c r="A55" s="37" t="s">
        <v>1998</v>
      </c>
      <c r="G55" s="7"/>
      <c r="H55" s="7"/>
      <c r="I55" s="7"/>
      <c r="J55" s="7"/>
      <c r="K55" s="7"/>
      <c r="L55" s="7"/>
      <c r="M55" s="7"/>
      <c r="N55" s="7"/>
      <c r="O55" s="7"/>
      <c r="P55" s="7"/>
      <c r="Q55" s="7"/>
      <c r="R55" s="7"/>
      <c r="S55" s="7"/>
      <c r="T55" s="7"/>
      <c r="U55" s="7"/>
      <c r="V55" s="7"/>
      <c r="W55" s="2"/>
      <c r="X55" s="2"/>
    </row>
    <row r="56" spans="1:25" ht="14" x14ac:dyDescent="0.3">
      <c r="A56" s="58" t="s">
        <v>2049</v>
      </c>
      <c r="C56" s="59">
        <v>37112</v>
      </c>
      <c r="D56" s="58" t="s">
        <v>2050</v>
      </c>
      <c r="E56" s="40">
        <v>0.1</v>
      </c>
      <c r="F56" s="40" t="s">
        <v>2051</v>
      </c>
      <c r="G56" s="7">
        <v>9800</v>
      </c>
      <c r="H56" s="7"/>
      <c r="I56" s="7"/>
      <c r="J56" s="7"/>
      <c r="K56" s="7"/>
      <c r="L56" s="7"/>
      <c r="M56" s="7">
        <f t="shared" ref="M56:M64" si="21">SUM(G56:L56)</f>
        <v>9800</v>
      </c>
      <c r="N56" s="7">
        <v>6370</v>
      </c>
      <c r="O56" s="7"/>
      <c r="P56" s="7"/>
      <c r="Q56" s="7">
        <f>ROUND(M56*E56,2)</f>
        <v>980</v>
      </c>
      <c r="R56" s="7"/>
      <c r="S56" s="7"/>
      <c r="T56" s="7">
        <f t="shared" ref="T56:T64" si="22">SUM(N56:S56)</f>
        <v>7350</v>
      </c>
      <c r="U56" s="7">
        <f t="shared" ref="U56:U64" si="23">G56-N56</f>
        <v>3430</v>
      </c>
      <c r="V56" s="7">
        <f t="shared" ref="V56:V64" si="24">M56-T56</f>
        <v>2450</v>
      </c>
      <c r="W56" s="2"/>
      <c r="X56" s="2">
        <f t="shared" ref="X56:X64" si="25">SUM(Q56:R56)</f>
        <v>980</v>
      </c>
      <c r="Y56" s="20">
        <v>330</v>
      </c>
    </row>
    <row r="57" spans="1:25" ht="14" x14ac:dyDescent="0.3">
      <c r="A57" s="58" t="s">
        <v>2052</v>
      </c>
      <c r="C57" s="58"/>
      <c r="D57" s="58" t="s">
        <v>2050</v>
      </c>
      <c r="E57" s="40">
        <v>0.1</v>
      </c>
      <c r="F57" s="40" t="s">
        <v>2051</v>
      </c>
      <c r="G57" s="7">
        <v>6300</v>
      </c>
      <c r="H57" s="7"/>
      <c r="I57" s="7"/>
      <c r="J57" s="7"/>
      <c r="K57" s="7"/>
      <c r="L57" s="7"/>
      <c r="M57" s="7">
        <f t="shared" si="21"/>
        <v>6300</v>
      </c>
      <c r="N57" s="7">
        <v>6300</v>
      </c>
      <c r="O57" s="7"/>
      <c r="P57" s="7"/>
      <c r="Q57" s="7"/>
      <c r="R57" s="7"/>
      <c r="S57" s="7"/>
      <c r="T57" s="7">
        <f t="shared" si="22"/>
        <v>6300</v>
      </c>
      <c r="U57" s="7">
        <f t="shared" si="23"/>
        <v>0</v>
      </c>
      <c r="V57" s="7">
        <f t="shared" si="24"/>
        <v>0</v>
      </c>
      <c r="W57" s="2"/>
      <c r="X57" s="2">
        <f t="shared" si="25"/>
        <v>0</v>
      </c>
      <c r="Y57" s="20">
        <v>330</v>
      </c>
    </row>
    <row r="58" spans="1:25" ht="14" x14ac:dyDescent="0.3">
      <c r="A58" s="58" t="s">
        <v>2053</v>
      </c>
      <c r="C58" s="58"/>
      <c r="D58" s="58" t="s">
        <v>2050</v>
      </c>
      <c r="E58" s="40">
        <v>0.1</v>
      </c>
      <c r="F58" s="40" t="s">
        <v>2051</v>
      </c>
      <c r="G58" s="7">
        <v>11800</v>
      </c>
      <c r="H58" s="7"/>
      <c r="I58" s="7"/>
      <c r="J58" s="7"/>
      <c r="K58" s="7"/>
      <c r="L58" s="7"/>
      <c r="M58" s="7">
        <f t="shared" si="21"/>
        <v>11800</v>
      </c>
      <c r="N58" s="7">
        <v>11800</v>
      </c>
      <c r="O58" s="7"/>
      <c r="P58" s="7"/>
      <c r="Q58" s="7"/>
      <c r="R58" s="7"/>
      <c r="S58" s="7"/>
      <c r="T58" s="7">
        <f t="shared" si="22"/>
        <v>11800</v>
      </c>
      <c r="U58" s="7">
        <f t="shared" si="23"/>
        <v>0</v>
      </c>
      <c r="V58" s="7">
        <f t="shared" si="24"/>
        <v>0</v>
      </c>
      <c r="W58" s="2"/>
      <c r="X58" s="2">
        <f t="shared" si="25"/>
        <v>0</v>
      </c>
      <c r="Y58" s="20">
        <v>330</v>
      </c>
    </row>
    <row r="59" spans="1:25" ht="14" x14ac:dyDescent="0.3">
      <c r="A59" s="58" t="s">
        <v>2054</v>
      </c>
      <c r="C59" s="59">
        <v>38909</v>
      </c>
      <c r="D59" s="58" t="s">
        <v>2055</v>
      </c>
      <c r="E59" s="40">
        <v>0.1</v>
      </c>
      <c r="F59" s="40" t="s">
        <v>2051</v>
      </c>
      <c r="G59" s="7">
        <v>6695</v>
      </c>
      <c r="H59" s="7"/>
      <c r="I59" s="7"/>
      <c r="J59" s="7"/>
      <c r="K59" s="7"/>
      <c r="L59" s="7"/>
      <c r="M59" s="7">
        <f t="shared" si="21"/>
        <v>6695</v>
      </c>
      <c r="N59" s="7">
        <v>1339.5</v>
      </c>
      <c r="O59" s="7"/>
      <c r="P59" s="7"/>
      <c r="Q59" s="7">
        <f t="shared" ref="Q59:Q64" si="26">ROUND(M59*E59,2)</f>
        <v>669.5</v>
      </c>
      <c r="R59" s="7"/>
      <c r="S59" s="7"/>
      <c r="T59" s="7">
        <f t="shared" si="22"/>
        <v>2009</v>
      </c>
      <c r="U59" s="7">
        <f t="shared" si="23"/>
        <v>5355.5</v>
      </c>
      <c r="V59" s="7">
        <f t="shared" si="24"/>
        <v>4686</v>
      </c>
      <c r="W59" s="2"/>
      <c r="X59" s="7">
        <f t="shared" si="25"/>
        <v>669.5</v>
      </c>
      <c r="Y59" s="20">
        <v>337</v>
      </c>
    </row>
    <row r="60" spans="1:25" ht="14" x14ac:dyDescent="0.3">
      <c r="A60" s="58" t="s">
        <v>2056</v>
      </c>
      <c r="C60" s="59"/>
      <c r="D60" s="58" t="s">
        <v>2057</v>
      </c>
      <c r="E60" s="40">
        <v>0.1</v>
      </c>
      <c r="F60" s="40" t="s">
        <v>2051</v>
      </c>
      <c r="G60" s="7">
        <v>16585</v>
      </c>
      <c r="H60" s="7"/>
      <c r="I60" s="7"/>
      <c r="J60" s="7"/>
      <c r="K60" s="7"/>
      <c r="L60" s="7"/>
      <c r="M60" s="7">
        <f t="shared" si="21"/>
        <v>16585</v>
      </c>
      <c r="N60" s="7">
        <v>3623.5</v>
      </c>
      <c r="O60" s="7"/>
      <c r="P60" s="7"/>
      <c r="Q60" s="7">
        <f t="shared" si="26"/>
        <v>1658.5</v>
      </c>
      <c r="R60" s="7"/>
      <c r="S60" s="45"/>
      <c r="T60" s="7">
        <f t="shared" si="22"/>
        <v>5282</v>
      </c>
      <c r="U60" s="7">
        <f t="shared" si="23"/>
        <v>12961.5</v>
      </c>
      <c r="V60" s="7">
        <f t="shared" si="24"/>
        <v>11303</v>
      </c>
      <c r="W60" s="2"/>
      <c r="X60" s="2">
        <f t="shared" si="25"/>
        <v>1658.5</v>
      </c>
      <c r="Y60" s="20">
        <v>359</v>
      </c>
    </row>
    <row r="61" spans="1:25" ht="14" x14ac:dyDescent="0.3">
      <c r="A61" s="58" t="s">
        <v>2058</v>
      </c>
      <c r="C61" s="59">
        <v>37399</v>
      </c>
      <c r="D61" s="58" t="s">
        <v>2059</v>
      </c>
      <c r="E61" s="40">
        <v>0.1</v>
      </c>
      <c r="F61" s="40" t="s">
        <v>2051</v>
      </c>
      <c r="G61" s="7">
        <v>5628</v>
      </c>
      <c r="H61" s="7"/>
      <c r="I61" s="7"/>
      <c r="J61" s="7"/>
      <c r="K61" s="7"/>
      <c r="L61" s="7"/>
      <c r="M61" s="7">
        <f t="shared" si="21"/>
        <v>5628</v>
      </c>
      <c r="N61" s="7">
        <v>3096</v>
      </c>
      <c r="O61" s="7"/>
      <c r="P61" s="7"/>
      <c r="Q61" s="7">
        <f t="shared" si="26"/>
        <v>562.79999999999995</v>
      </c>
      <c r="R61" s="7"/>
      <c r="S61" s="7"/>
      <c r="T61" s="7">
        <f t="shared" si="22"/>
        <v>3658.8</v>
      </c>
      <c r="U61" s="7">
        <f t="shared" si="23"/>
        <v>2532</v>
      </c>
      <c r="V61" s="7">
        <f t="shared" si="24"/>
        <v>1969.1999999999998</v>
      </c>
      <c r="W61" s="2"/>
      <c r="X61" s="2">
        <f t="shared" si="25"/>
        <v>562.79999999999995</v>
      </c>
      <c r="Y61" s="20">
        <v>329</v>
      </c>
    </row>
    <row r="62" spans="1:25" ht="14" x14ac:dyDescent="0.3">
      <c r="A62" s="58" t="s">
        <v>2060</v>
      </c>
      <c r="C62" s="59">
        <v>36972</v>
      </c>
      <c r="D62" s="58" t="s">
        <v>2061</v>
      </c>
      <c r="E62" s="40">
        <v>0.1</v>
      </c>
      <c r="F62" s="40" t="s">
        <v>2051</v>
      </c>
      <c r="G62" s="7">
        <v>6096.81</v>
      </c>
      <c r="H62" s="7"/>
      <c r="I62" s="7"/>
      <c r="J62" s="7"/>
      <c r="K62" s="7"/>
      <c r="L62" s="7"/>
      <c r="M62" s="7">
        <f t="shared" si="21"/>
        <v>6096.81</v>
      </c>
      <c r="N62" s="7">
        <v>4573.5600000000004</v>
      </c>
      <c r="O62" s="7"/>
      <c r="P62" s="7"/>
      <c r="Q62" s="7">
        <f t="shared" si="26"/>
        <v>609.67999999999995</v>
      </c>
      <c r="R62" s="7"/>
      <c r="S62" s="7"/>
      <c r="T62" s="7">
        <f t="shared" si="22"/>
        <v>5183.2400000000007</v>
      </c>
      <c r="U62" s="7">
        <f t="shared" si="23"/>
        <v>1523.25</v>
      </c>
      <c r="V62" s="7">
        <f t="shared" si="24"/>
        <v>913.56999999999971</v>
      </c>
      <c r="W62" s="2"/>
      <c r="X62" s="2">
        <f t="shared" si="25"/>
        <v>609.67999999999995</v>
      </c>
      <c r="Y62" s="20">
        <v>331</v>
      </c>
    </row>
    <row r="63" spans="1:25" ht="14" x14ac:dyDescent="0.3">
      <c r="A63" s="58" t="s">
        <v>2062</v>
      </c>
      <c r="C63" s="59">
        <v>36972</v>
      </c>
      <c r="D63" s="58" t="s">
        <v>2061</v>
      </c>
      <c r="E63" s="40">
        <v>0.1</v>
      </c>
      <c r="F63" s="40" t="s">
        <v>2051</v>
      </c>
      <c r="G63" s="7">
        <v>6817.37</v>
      </c>
      <c r="H63" s="7"/>
      <c r="I63" s="7"/>
      <c r="J63" s="7"/>
      <c r="K63" s="7"/>
      <c r="L63" s="7"/>
      <c r="M63" s="7">
        <f t="shared" si="21"/>
        <v>6817.37</v>
      </c>
      <c r="N63" s="7">
        <v>5113.83</v>
      </c>
      <c r="O63" s="7"/>
      <c r="P63" s="7"/>
      <c r="Q63" s="7">
        <f t="shared" si="26"/>
        <v>681.74</v>
      </c>
      <c r="R63" s="7"/>
      <c r="S63" s="7"/>
      <c r="T63" s="7">
        <f t="shared" si="22"/>
        <v>5795.57</v>
      </c>
      <c r="U63" s="7">
        <f t="shared" si="23"/>
        <v>1703.54</v>
      </c>
      <c r="V63" s="7">
        <f t="shared" si="24"/>
        <v>1021.8000000000002</v>
      </c>
      <c r="W63" s="2"/>
      <c r="X63" s="2">
        <f t="shared" si="25"/>
        <v>681.74</v>
      </c>
      <c r="Y63" s="20">
        <v>331</v>
      </c>
    </row>
    <row r="64" spans="1:25" s="41" customFormat="1" ht="14" x14ac:dyDescent="0.3">
      <c r="A64" s="63" t="s">
        <v>2063</v>
      </c>
      <c r="C64" s="67"/>
      <c r="D64" s="41" t="s">
        <v>2010</v>
      </c>
      <c r="E64" s="68">
        <v>0.1</v>
      </c>
      <c r="F64" s="68" t="s">
        <v>2051</v>
      </c>
      <c r="G64" s="43">
        <v>15609.37</v>
      </c>
      <c r="H64" s="43"/>
      <c r="I64" s="43"/>
      <c r="J64" s="43"/>
      <c r="K64" s="43"/>
      <c r="L64" s="43"/>
      <c r="M64" s="43">
        <f t="shared" si="21"/>
        <v>15609.37</v>
      </c>
      <c r="N64" s="43">
        <v>1560.94</v>
      </c>
      <c r="O64" s="43"/>
      <c r="P64" s="43"/>
      <c r="Q64" s="43">
        <f t="shared" si="26"/>
        <v>1560.94</v>
      </c>
      <c r="R64" s="43"/>
      <c r="S64" s="69"/>
      <c r="T64" s="43">
        <f t="shared" si="22"/>
        <v>3121.88</v>
      </c>
      <c r="U64" s="7">
        <f t="shared" si="23"/>
        <v>14048.43</v>
      </c>
      <c r="V64" s="43">
        <f t="shared" si="24"/>
        <v>12487.490000000002</v>
      </c>
      <c r="W64" s="43"/>
      <c r="X64" s="43">
        <f t="shared" si="25"/>
        <v>1560.94</v>
      </c>
      <c r="Y64" s="41" t="s">
        <v>2010</v>
      </c>
    </row>
    <row r="65" spans="1:25" x14ac:dyDescent="0.25">
      <c r="G65" s="47">
        <v>85331.55</v>
      </c>
      <c r="H65" s="47">
        <f t="shared" ref="H65:V65" si="27">SUM(H56:H64)</f>
        <v>0</v>
      </c>
      <c r="I65" s="47">
        <f t="shared" si="27"/>
        <v>0</v>
      </c>
      <c r="J65" s="47">
        <f t="shared" si="27"/>
        <v>0</v>
      </c>
      <c r="K65" s="47">
        <f t="shared" si="27"/>
        <v>0</v>
      </c>
      <c r="L65" s="47">
        <f t="shared" si="27"/>
        <v>0</v>
      </c>
      <c r="M65" s="47">
        <f t="shared" si="27"/>
        <v>85331.549999999988</v>
      </c>
      <c r="N65" s="47">
        <v>43777.33</v>
      </c>
      <c r="O65" s="47">
        <f t="shared" si="27"/>
        <v>0</v>
      </c>
      <c r="P65" s="47">
        <f t="shared" si="27"/>
        <v>0</v>
      </c>
      <c r="Q65" s="47">
        <f t="shared" si="27"/>
        <v>6723.16</v>
      </c>
      <c r="R65" s="47">
        <f t="shared" si="27"/>
        <v>0</v>
      </c>
      <c r="S65" s="47">
        <f t="shared" si="27"/>
        <v>0</v>
      </c>
      <c r="T65" s="47">
        <f t="shared" si="27"/>
        <v>50500.49</v>
      </c>
      <c r="U65" s="47">
        <f t="shared" si="27"/>
        <v>41554.22</v>
      </c>
      <c r="V65" s="47">
        <f t="shared" si="27"/>
        <v>34831.06</v>
      </c>
      <c r="W65" s="7"/>
      <c r="X65" s="47">
        <f>SUM(X56:X64)</f>
        <v>6723.16</v>
      </c>
    </row>
    <row r="66" spans="1:25" x14ac:dyDescent="0.25">
      <c r="G66" s="7"/>
      <c r="H66" s="7"/>
      <c r="I66" s="7"/>
      <c r="J66" s="7"/>
      <c r="K66" s="7"/>
      <c r="L66" s="7"/>
      <c r="M66" s="7"/>
      <c r="N66" s="7"/>
      <c r="O66" s="7"/>
      <c r="P66" s="7"/>
      <c r="Q66" s="7"/>
      <c r="R66" s="7"/>
      <c r="S66" s="7"/>
      <c r="T66" s="7"/>
      <c r="U66" s="7"/>
      <c r="V66" s="7"/>
      <c r="W66" s="2"/>
      <c r="X66" s="2"/>
    </row>
    <row r="67" spans="1:25" ht="13" x14ac:dyDescent="0.3">
      <c r="A67" s="37" t="s">
        <v>1999</v>
      </c>
      <c r="G67" s="7"/>
      <c r="H67" s="7"/>
      <c r="I67" s="7"/>
      <c r="J67" s="7"/>
      <c r="K67" s="7"/>
      <c r="L67" s="7"/>
      <c r="M67" s="7"/>
      <c r="N67" s="7"/>
      <c r="O67" s="7"/>
      <c r="P67" s="7"/>
      <c r="Q67" s="7"/>
      <c r="R67" s="7"/>
      <c r="S67" s="7"/>
      <c r="T67" s="7"/>
      <c r="U67" s="7"/>
      <c r="V67" s="7"/>
      <c r="W67" s="2"/>
      <c r="X67" s="2"/>
    </row>
    <row r="68" spans="1:25" ht="14" x14ac:dyDescent="0.3">
      <c r="A68" s="58" t="s">
        <v>1994</v>
      </c>
      <c r="B68" s="58" t="s">
        <v>2064</v>
      </c>
      <c r="C68" s="59">
        <v>27649</v>
      </c>
      <c r="D68" s="58" t="s">
        <v>2065</v>
      </c>
      <c r="E68" s="40"/>
      <c r="F68" s="40" t="s">
        <v>2066</v>
      </c>
      <c r="G68" s="7">
        <v>20200</v>
      </c>
      <c r="H68" s="7"/>
      <c r="I68" s="7"/>
      <c r="J68" s="7"/>
      <c r="K68" s="7"/>
      <c r="L68" s="7"/>
      <c r="M68" s="7">
        <f t="shared" ref="M68:M109" si="28">SUM(G68:L68)</f>
        <v>20200</v>
      </c>
      <c r="N68" s="7">
        <v>0</v>
      </c>
      <c r="O68" s="7"/>
      <c r="P68" s="7"/>
      <c r="Q68" s="7"/>
      <c r="R68" s="7"/>
      <c r="S68" s="7"/>
      <c r="T68" s="7">
        <f t="shared" ref="T68:T109" si="29">SUM(N68:S68)</f>
        <v>0</v>
      </c>
      <c r="U68" s="7">
        <f t="shared" ref="U68:U109" si="30">G68-N68</f>
        <v>20200</v>
      </c>
      <c r="V68" s="7">
        <f t="shared" ref="V68:V109" si="31">M68-T68</f>
        <v>20200</v>
      </c>
      <c r="W68" s="2"/>
      <c r="X68" s="2">
        <f t="shared" ref="X68:X77" si="32">SUM(Q68:R68)</f>
        <v>0</v>
      </c>
      <c r="Y68" s="20">
        <v>342</v>
      </c>
    </row>
    <row r="69" spans="1:25" ht="14" x14ac:dyDescent="0.3">
      <c r="A69" s="58" t="s">
        <v>2012</v>
      </c>
      <c r="B69" s="58" t="s">
        <v>2067</v>
      </c>
      <c r="C69" s="59">
        <v>32415</v>
      </c>
      <c r="D69" s="58" t="s">
        <v>2068</v>
      </c>
      <c r="E69" s="40">
        <v>1.67E-2</v>
      </c>
      <c r="F69" s="40" t="s">
        <v>2066</v>
      </c>
      <c r="G69" s="7">
        <v>12500</v>
      </c>
      <c r="H69" s="7"/>
      <c r="I69" s="7"/>
      <c r="J69" s="7"/>
      <c r="K69" s="7"/>
      <c r="L69" s="7"/>
      <c r="M69" s="7">
        <f t="shared" si="28"/>
        <v>12500</v>
      </c>
      <c r="N69" s="7">
        <v>417.75</v>
      </c>
      <c r="O69" s="7"/>
      <c r="P69" s="7"/>
      <c r="Q69" s="7">
        <f>ROUND(M69*E69,2)</f>
        <v>208.75</v>
      </c>
      <c r="R69" s="7"/>
      <c r="S69" s="7"/>
      <c r="T69" s="7">
        <f t="shared" si="29"/>
        <v>626.5</v>
      </c>
      <c r="U69" s="7">
        <f t="shared" si="30"/>
        <v>12082.25</v>
      </c>
      <c r="V69" s="7">
        <f t="shared" si="31"/>
        <v>11873.5</v>
      </c>
      <c r="W69" s="2"/>
      <c r="X69" s="2">
        <f t="shared" si="32"/>
        <v>208.75</v>
      </c>
      <c r="Y69" s="20">
        <v>327</v>
      </c>
    </row>
    <row r="70" spans="1:25" ht="14" x14ac:dyDescent="0.3">
      <c r="A70" s="58" t="s">
        <v>2012</v>
      </c>
      <c r="B70" s="58" t="s">
        <v>2069</v>
      </c>
      <c r="C70" s="59">
        <v>32115</v>
      </c>
      <c r="D70" s="58" t="s">
        <v>2070</v>
      </c>
      <c r="E70" s="40"/>
      <c r="F70" s="40" t="s">
        <v>2066</v>
      </c>
      <c r="G70" s="7">
        <v>65000</v>
      </c>
      <c r="H70" s="7"/>
      <c r="I70" s="7"/>
      <c r="J70" s="7"/>
      <c r="K70" s="7"/>
      <c r="L70" s="7"/>
      <c r="M70" s="7">
        <f t="shared" si="28"/>
        <v>65000</v>
      </c>
      <c r="N70" s="7">
        <v>0</v>
      </c>
      <c r="O70" s="7"/>
      <c r="P70" s="7"/>
      <c r="Q70" s="7"/>
      <c r="R70" s="7"/>
      <c r="S70" s="7"/>
      <c r="T70" s="7">
        <f t="shared" si="29"/>
        <v>0</v>
      </c>
      <c r="U70" s="7">
        <f t="shared" si="30"/>
        <v>65000</v>
      </c>
      <c r="V70" s="7">
        <f t="shared" si="31"/>
        <v>65000</v>
      </c>
      <c r="W70" s="2"/>
      <c r="X70" s="2">
        <f t="shared" si="32"/>
        <v>0</v>
      </c>
    </row>
    <row r="71" spans="1:25" ht="14" x14ac:dyDescent="0.3">
      <c r="A71" s="58" t="s">
        <v>2012</v>
      </c>
      <c r="B71" s="58" t="s">
        <v>2071</v>
      </c>
      <c r="C71" s="59">
        <v>32115</v>
      </c>
      <c r="D71" s="58" t="s">
        <v>2070</v>
      </c>
      <c r="E71" s="40"/>
      <c r="F71" s="40" t="s">
        <v>2066</v>
      </c>
      <c r="G71" s="7">
        <v>50000</v>
      </c>
      <c r="H71" s="7"/>
      <c r="I71" s="7"/>
      <c r="J71" s="7"/>
      <c r="K71" s="7"/>
      <c r="L71" s="7"/>
      <c r="M71" s="7">
        <f t="shared" si="28"/>
        <v>50000</v>
      </c>
      <c r="N71" s="7">
        <v>0</v>
      </c>
      <c r="O71" s="7"/>
      <c r="P71" s="7"/>
      <c r="Q71" s="7"/>
      <c r="R71" s="7"/>
      <c r="S71" s="7"/>
      <c r="T71" s="7">
        <f t="shared" si="29"/>
        <v>0</v>
      </c>
      <c r="U71" s="7">
        <f t="shared" si="30"/>
        <v>50000</v>
      </c>
      <c r="V71" s="7">
        <f t="shared" si="31"/>
        <v>50000</v>
      </c>
      <c r="W71" s="2"/>
      <c r="X71" s="2">
        <f t="shared" si="32"/>
        <v>0</v>
      </c>
    </row>
    <row r="72" spans="1:25" ht="14" x14ac:dyDescent="0.3">
      <c r="A72" s="58" t="s">
        <v>2012</v>
      </c>
      <c r="B72" s="58" t="s">
        <v>2072</v>
      </c>
      <c r="C72" s="59">
        <v>32115</v>
      </c>
      <c r="D72" s="58" t="s">
        <v>2070</v>
      </c>
      <c r="E72" s="40"/>
      <c r="F72" s="40" t="s">
        <v>2066</v>
      </c>
      <c r="G72" s="7">
        <v>1000</v>
      </c>
      <c r="H72" s="7"/>
      <c r="I72" s="7"/>
      <c r="J72" s="7"/>
      <c r="K72" s="7"/>
      <c r="L72" s="7"/>
      <c r="M72" s="7">
        <f t="shared" si="28"/>
        <v>1000</v>
      </c>
      <c r="N72" s="7">
        <v>0</v>
      </c>
      <c r="O72" s="7"/>
      <c r="P72" s="7"/>
      <c r="Q72" s="7"/>
      <c r="R72" s="7"/>
      <c r="S72" s="7"/>
      <c r="T72" s="7">
        <f t="shared" si="29"/>
        <v>0</v>
      </c>
      <c r="U72" s="7">
        <f t="shared" si="30"/>
        <v>1000</v>
      </c>
      <c r="V72" s="7">
        <f t="shared" si="31"/>
        <v>1000</v>
      </c>
      <c r="W72" s="2"/>
      <c r="X72" s="2">
        <f t="shared" si="32"/>
        <v>0</v>
      </c>
    </row>
    <row r="73" spans="1:25" ht="14" x14ac:dyDescent="0.3">
      <c r="A73" s="58" t="s">
        <v>1994</v>
      </c>
      <c r="B73" s="58" t="s">
        <v>2073</v>
      </c>
      <c r="C73" s="59">
        <v>32115</v>
      </c>
      <c r="D73" s="58" t="s">
        <v>2070</v>
      </c>
      <c r="E73" s="40"/>
      <c r="F73" s="40" t="s">
        <v>2066</v>
      </c>
      <c r="G73" s="7">
        <v>50000</v>
      </c>
      <c r="H73" s="7"/>
      <c r="I73" s="7"/>
      <c r="J73" s="7"/>
      <c r="K73" s="7"/>
      <c r="L73" s="7"/>
      <c r="M73" s="7">
        <f t="shared" si="28"/>
        <v>50000</v>
      </c>
      <c r="N73" s="7">
        <v>0</v>
      </c>
      <c r="O73" s="7"/>
      <c r="P73" s="7"/>
      <c r="Q73" s="7"/>
      <c r="R73" s="7"/>
      <c r="S73" s="7"/>
      <c r="T73" s="7">
        <f t="shared" si="29"/>
        <v>0</v>
      </c>
      <c r="U73" s="7">
        <f t="shared" si="30"/>
        <v>50000</v>
      </c>
      <c r="V73" s="7">
        <f t="shared" si="31"/>
        <v>50000</v>
      </c>
      <c r="W73" s="2"/>
      <c r="X73" s="2">
        <f t="shared" si="32"/>
        <v>0</v>
      </c>
      <c r="Y73" s="20">
        <v>326</v>
      </c>
    </row>
    <row r="74" spans="1:25" ht="14" x14ac:dyDescent="0.3">
      <c r="A74" s="58" t="s">
        <v>2012</v>
      </c>
      <c r="B74" s="58" t="s">
        <v>2074</v>
      </c>
      <c r="C74" s="59">
        <v>32115</v>
      </c>
      <c r="D74" s="58" t="s">
        <v>2070</v>
      </c>
      <c r="E74" s="40">
        <v>0.02</v>
      </c>
      <c r="F74" s="40" t="s">
        <v>2066</v>
      </c>
      <c r="G74" s="7">
        <v>60500</v>
      </c>
      <c r="H74" s="7"/>
      <c r="I74" s="7"/>
      <c r="J74" s="7"/>
      <c r="K74" s="7"/>
      <c r="L74" s="7"/>
      <c r="M74" s="7">
        <f t="shared" si="28"/>
        <v>60500</v>
      </c>
      <c r="N74" s="7">
        <v>7778.57</v>
      </c>
      <c r="O74" s="7"/>
      <c r="P74" s="7"/>
      <c r="Q74" s="7">
        <f>ROUND(M74*E74,2)</f>
        <v>1210</v>
      </c>
      <c r="R74" s="7"/>
      <c r="S74" s="7"/>
      <c r="T74" s="7">
        <f t="shared" si="29"/>
        <v>8988.57</v>
      </c>
      <c r="U74" s="7">
        <f t="shared" si="30"/>
        <v>52721.43</v>
      </c>
      <c r="V74" s="7">
        <f t="shared" si="31"/>
        <v>51511.43</v>
      </c>
      <c r="W74" s="2"/>
      <c r="X74" s="2">
        <f t="shared" si="32"/>
        <v>1210</v>
      </c>
      <c r="Y74" s="20">
        <v>326</v>
      </c>
    </row>
    <row r="75" spans="1:25" ht="14" x14ac:dyDescent="0.3">
      <c r="A75" s="58" t="s">
        <v>1506</v>
      </c>
      <c r="B75" s="58"/>
      <c r="C75" s="58"/>
      <c r="D75" s="58" t="s">
        <v>44</v>
      </c>
      <c r="E75" s="40"/>
      <c r="F75" s="40" t="s">
        <v>2066</v>
      </c>
      <c r="G75" s="7">
        <v>65000</v>
      </c>
      <c r="H75" s="7"/>
      <c r="I75" s="7"/>
      <c r="J75" s="7"/>
      <c r="K75" s="7"/>
      <c r="L75" s="7"/>
      <c r="M75" s="7">
        <f t="shared" si="28"/>
        <v>65000</v>
      </c>
      <c r="N75" s="7">
        <v>0</v>
      </c>
      <c r="O75" s="7"/>
      <c r="P75" s="7"/>
      <c r="Q75" s="7"/>
      <c r="R75" s="7"/>
      <c r="S75" s="7"/>
      <c r="T75" s="7">
        <f t="shared" si="29"/>
        <v>0</v>
      </c>
      <c r="U75" s="7">
        <f t="shared" si="30"/>
        <v>65000</v>
      </c>
      <c r="V75" s="7">
        <f t="shared" si="31"/>
        <v>65000</v>
      </c>
      <c r="W75" s="2"/>
      <c r="X75" s="2">
        <f t="shared" si="32"/>
        <v>0</v>
      </c>
      <c r="Y75" s="20">
        <v>299</v>
      </c>
    </row>
    <row r="76" spans="1:25" ht="14" x14ac:dyDescent="0.3">
      <c r="A76" s="58" t="s">
        <v>2012</v>
      </c>
      <c r="B76" s="58" t="s">
        <v>2075</v>
      </c>
      <c r="C76" s="58"/>
      <c r="D76" s="58" t="s">
        <v>2076</v>
      </c>
      <c r="E76" s="40">
        <v>1.67E-2</v>
      </c>
      <c r="F76" s="40" t="s">
        <v>2066</v>
      </c>
      <c r="G76" s="7">
        <v>433724.17</v>
      </c>
      <c r="H76" s="7"/>
      <c r="I76" s="7"/>
      <c r="J76" s="7"/>
      <c r="K76" s="7"/>
      <c r="L76" s="7"/>
      <c r="M76" s="7">
        <f t="shared" si="28"/>
        <v>433724.17</v>
      </c>
      <c r="N76" s="7">
        <v>53257.84</v>
      </c>
      <c r="O76" s="7"/>
      <c r="P76" s="7"/>
      <c r="Q76" s="7">
        <f>ROUND(M76*E76,2)</f>
        <v>7243.19</v>
      </c>
      <c r="R76" s="7"/>
      <c r="S76" s="7"/>
      <c r="T76" s="7">
        <f t="shared" si="29"/>
        <v>60501.03</v>
      </c>
      <c r="U76" s="7">
        <f t="shared" si="30"/>
        <v>380466.32999999996</v>
      </c>
      <c r="V76" s="7">
        <f t="shared" si="31"/>
        <v>373223.14</v>
      </c>
      <c r="W76" s="2"/>
      <c r="X76" s="2">
        <f t="shared" si="32"/>
        <v>7243.19</v>
      </c>
      <c r="Y76" s="20">
        <v>499</v>
      </c>
    </row>
    <row r="77" spans="1:25" ht="14" x14ac:dyDescent="0.3">
      <c r="A77" s="58" t="s">
        <v>2077</v>
      </c>
      <c r="B77" s="58"/>
      <c r="C77" s="59">
        <v>37630</v>
      </c>
      <c r="D77" s="58" t="s">
        <v>2078</v>
      </c>
      <c r="E77" s="40">
        <v>0.1</v>
      </c>
      <c r="F77" s="40" t="s">
        <v>2066</v>
      </c>
      <c r="G77" s="7">
        <v>14000</v>
      </c>
      <c r="H77" s="7"/>
      <c r="I77" s="7"/>
      <c r="J77" s="7"/>
      <c r="K77" s="7"/>
      <c r="L77" s="7"/>
      <c r="M77" s="7">
        <f t="shared" si="28"/>
        <v>14000</v>
      </c>
      <c r="N77" s="7">
        <v>7700</v>
      </c>
      <c r="O77" s="7"/>
      <c r="P77" s="7"/>
      <c r="Q77" s="7">
        <f>ROUND(M77*E77,2)</f>
        <v>1400</v>
      </c>
      <c r="R77" s="7"/>
      <c r="S77" s="7"/>
      <c r="T77" s="7">
        <f t="shared" si="29"/>
        <v>9100</v>
      </c>
      <c r="U77" s="7">
        <f t="shared" si="30"/>
        <v>6300</v>
      </c>
      <c r="V77" s="7">
        <f t="shared" si="31"/>
        <v>4900</v>
      </c>
      <c r="W77" s="2"/>
      <c r="X77" s="2">
        <f t="shared" si="32"/>
        <v>1400</v>
      </c>
      <c r="Y77" s="20">
        <v>399</v>
      </c>
    </row>
    <row r="78" spans="1:25" ht="14" x14ac:dyDescent="0.3">
      <c r="A78" s="58" t="s">
        <v>1994</v>
      </c>
      <c r="B78" s="58" t="s">
        <v>2079</v>
      </c>
      <c r="C78" s="59">
        <v>31758</v>
      </c>
      <c r="D78" s="58" t="s">
        <v>2080</v>
      </c>
      <c r="E78" s="40"/>
      <c r="F78" s="40" t="s">
        <v>2066</v>
      </c>
      <c r="G78" s="7">
        <v>1</v>
      </c>
      <c r="H78" s="7"/>
      <c r="I78" s="7"/>
      <c r="J78" s="7"/>
      <c r="K78" s="7"/>
      <c r="L78" s="7"/>
      <c r="M78" s="7">
        <f t="shared" si="28"/>
        <v>1</v>
      </c>
      <c r="N78" s="7">
        <v>0</v>
      </c>
      <c r="O78" s="7"/>
      <c r="P78" s="7"/>
      <c r="Q78" s="7"/>
      <c r="R78" s="7"/>
      <c r="S78" s="7"/>
      <c r="T78" s="7">
        <f t="shared" si="29"/>
        <v>0</v>
      </c>
      <c r="U78" s="7">
        <f t="shared" si="30"/>
        <v>1</v>
      </c>
      <c r="V78" s="7">
        <f t="shared" si="31"/>
        <v>1</v>
      </c>
      <c r="W78" s="2"/>
      <c r="X78" s="2"/>
    </row>
    <row r="79" spans="1:25" ht="14" x14ac:dyDescent="0.3">
      <c r="A79" s="58" t="s">
        <v>1994</v>
      </c>
      <c r="B79" s="58" t="s">
        <v>1959</v>
      </c>
      <c r="C79" s="58"/>
      <c r="D79" s="58" t="s">
        <v>2081</v>
      </c>
      <c r="E79" s="40"/>
      <c r="F79" s="40" t="s">
        <v>2066</v>
      </c>
      <c r="G79" s="7">
        <v>0</v>
      </c>
      <c r="H79" s="7"/>
      <c r="I79" s="7"/>
      <c r="J79" s="7"/>
      <c r="K79" s="7"/>
      <c r="L79" s="7"/>
      <c r="M79" s="7">
        <f t="shared" si="28"/>
        <v>0</v>
      </c>
      <c r="N79" s="7">
        <v>0</v>
      </c>
      <c r="O79" s="7"/>
      <c r="P79" s="7"/>
      <c r="Q79" s="7"/>
      <c r="R79" s="7"/>
      <c r="S79" s="7"/>
      <c r="T79" s="7">
        <f t="shared" si="29"/>
        <v>0</v>
      </c>
      <c r="U79" s="7">
        <f t="shared" si="30"/>
        <v>0</v>
      </c>
      <c r="V79" s="7">
        <f t="shared" si="31"/>
        <v>0</v>
      </c>
      <c r="W79" s="2"/>
      <c r="X79" s="2"/>
    </row>
    <row r="80" spans="1:25" ht="14" x14ac:dyDescent="0.3">
      <c r="A80" s="58" t="s">
        <v>1994</v>
      </c>
      <c r="B80" s="58" t="s">
        <v>1959</v>
      </c>
      <c r="C80" s="58"/>
      <c r="D80" s="58" t="s">
        <v>2082</v>
      </c>
      <c r="E80" s="40"/>
      <c r="F80" s="40" t="s">
        <v>2066</v>
      </c>
      <c r="G80" s="7">
        <v>1</v>
      </c>
      <c r="H80" s="7"/>
      <c r="I80" s="7"/>
      <c r="J80" s="7"/>
      <c r="K80" s="7"/>
      <c r="L80" s="7"/>
      <c r="M80" s="7">
        <f t="shared" si="28"/>
        <v>1</v>
      </c>
      <c r="N80" s="7">
        <v>0</v>
      </c>
      <c r="O80" s="7"/>
      <c r="P80" s="7"/>
      <c r="Q80" s="7"/>
      <c r="R80" s="7"/>
      <c r="S80" s="7"/>
      <c r="T80" s="7">
        <f t="shared" si="29"/>
        <v>0</v>
      </c>
      <c r="U80" s="7">
        <f t="shared" si="30"/>
        <v>1</v>
      </c>
      <c r="V80" s="7">
        <f t="shared" si="31"/>
        <v>1</v>
      </c>
      <c r="W80" s="2"/>
      <c r="X80" s="2"/>
    </row>
    <row r="81" spans="1:24" ht="14" x14ac:dyDescent="0.3">
      <c r="A81" s="58" t="s">
        <v>1994</v>
      </c>
      <c r="B81" s="58" t="s">
        <v>1959</v>
      </c>
      <c r="C81" s="58"/>
      <c r="D81" s="58" t="s">
        <v>2083</v>
      </c>
      <c r="E81" s="40"/>
      <c r="F81" s="40" t="s">
        <v>2066</v>
      </c>
      <c r="G81" s="7">
        <v>0</v>
      </c>
      <c r="H81" s="7"/>
      <c r="I81" s="7"/>
      <c r="J81" s="7"/>
      <c r="K81" s="7"/>
      <c r="L81" s="7"/>
      <c r="M81" s="7">
        <f t="shared" si="28"/>
        <v>0</v>
      </c>
      <c r="N81" s="7">
        <v>0</v>
      </c>
      <c r="O81" s="7"/>
      <c r="P81" s="7"/>
      <c r="Q81" s="7"/>
      <c r="R81" s="7"/>
      <c r="S81" s="7"/>
      <c r="T81" s="7">
        <f t="shared" si="29"/>
        <v>0</v>
      </c>
      <c r="U81" s="7">
        <f t="shared" si="30"/>
        <v>0</v>
      </c>
      <c r="V81" s="7">
        <f t="shared" si="31"/>
        <v>0</v>
      </c>
      <c r="W81" s="2"/>
      <c r="X81" s="2"/>
    </row>
    <row r="82" spans="1:24" ht="14" x14ac:dyDescent="0.3">
      <c r="A82" s="58" t="s">
        <v>1994</v>
      </c>
      <c r="B82" s="58" t="s">
        <v>2084</v>
      </c>
      <c r="C82" s="58">
        <v>1896</v>
      </c>
      <c r="D82" s="58" t="s">
        <v>2085</v>
      </c>
      <c r="E82" s="40"/>
      <c r="F82" s="40" t="s">
        <v>2066</v>
      </c>
      <c r="G82" s="7">
        <v>3800</v>
      </c>
      <c r="H82" s="7"/>
      <c r="I82" s="7"/>
      <c r="J82" s="7"/>
      <c r="K82" s="7"/>
      <c r="L82" s="7"/>
      <c r="M82" s="7">
        <f t="shared" si="28"/>
        <v>3800</v>
      </c>
      <c r="N82" s="7">
        <v>0</v>
      </c>
      <c r="O82" s="7"/>
      <c r="P82" s="7"/>
      <c r="Q82" s="7"/>
      <c r="R82" s="7"/>
      <c r="S82" s="7"/>
      <c r="T82" s="7">
        <f t="shared" si="29"/>
        <v>0</v>
      </c>
      <c r="U82" s="7">
        <f t="shared" si="30"/>
        <v>3800</v>
      </c>
      <c r="V82" s="7">
        <f t="shared" si="31"/>
        <v>3800</v>
      </c>
      <c r="W82" s="2"/>
      <c r="X82" s="2"/>
    </row>
    <row r="83" spans="1:24" ht="14" x14ac:dyDescent="0.3">
      <c r="A83" s="58" t="s">
        <v>1994</v>
      </c>
      <c r="B83" s="58" t="s">
        <v>2086</v>
      </c>
      <c r="C83" s="58">
        <v>1896</v>
      </c>
      <c r="D83" s="58" t="s">
        <v>2085</v>
      </c>
      <c r="E83" s="40"/>
      <c r="F83" s="40" t="s">
        <v>2066</v>
      </c>
      <c r="G83" s="7">
        <v>0</v>
      </c>
      <c r="H83" s="7"/>
      <c r="I83" s="7"/>
      <c r="J83" s="7"/>
      <c r="K83" s="7"/>
      <c r="L83" s="7"/>
      <c r="M83" s="7">
        <f t="shared" si="28"/>
        <v>0</v>
      </c>
      <c r="N83" s="7">
        <v>0</v>
      </c>
      <c r="O83" s="7"/>
      <c r="P83" s="7"/>
      <c r="Q83" s="7"/>
      <c r="R83" s="7"/>
      <c r="S83" s="7"/>
      <c r="T83" s="7">
        <f t="shared" si="29"/>
        <v>0</v>
      </c>
      <c r="U83" s="7">
        <f t="shared" si="30"/>
        <v>0</v>
      </c>
      <c r="V83" s="7">
        <f t="shared" si="31"/>
        <v>0</v>
      </c>
      <c r="W83" s="2"/>
      <c r="X83" s="2"/>
    </row>
    <row r="84" spans="1:24" ht="14" x14ac:dyDescent="0.3">
      <c r="A84" s="58" t="s">
        <v>1994</v>
      </c>
      <c r="B84" s="58" t="s">
        <v>2087</v>
      </c>
      <c r="C84" s="58">
        <v>1896</v>
      </c>
      <c r="D84" s="58" t="s">
        <v>2085</v>
      </c>
      <c r="E84" s="40"/>
      <c r="F84" s="40" t="s">
        <v>2066</v>
      </c>
      <c r="G84" s="7">
        <v>0</v>
      </c>
      <c r="H84" s="7"/>
      <c r="I84" s="7"/>
      <c r="J84" s="7"/>
      <c r="K84" s="7"/>
      <c r="L84" s="7"/>
      <c r="M84" s="7">
        <f t="shared" si="28"/>
        <v>0</v>
      </c>
      <c r="N84" s="7">
        <v>0</v>
      </c>
      <c r="O84" s="7"/>
      <c r="P84" s="7"/>
      <c r="Q84" s="7"/>
      <c r="R84" s="7"/>
      <c r="S84" s="7"/>
      <c r="T84" s="7">
        <f t="shared" si="29"/>
        <v>0</v>
      </c>
      <c r="U84" s="7">
        <f t="shared" si="30"/>
        <v>0</v>
      </c>
      <c r="V84" s="7">
        <f t="shared" si="31"/>
        <v>0</v>
      </c>
      <c r="W84" s="2"/>
      <c r="X84" s="2"/>
    </row>
    <row r="85" spans="1:24" ht="14" x14ac:dyDescent="0.3">
      <c r="A85" s="58" t="s">
        <v>1994</v>
      </c>
      <c r="B85" s="58" t="s">
        <v>2088</v>
      </c>
      <c r="C85" s="58">
        <v>1896</v>
      </c>
      <c r="D85" s="58" t="s">
        <v>2085</v>
      </c>
      <c r="E85" s="40"/>
      <c r="F85" s="40" t="s">
        <v>2066</v>
      </c>
      <c r="G85" s="7">
        <v>0</v>
      </c>
      <c r="H85" s="7"/>
      <c r="I85" s="7"/>
      <c r="J85" s="7"/>
      <c r="K85" s="7"/>
      <c r="L85" s="7"/>
      <c r="M85" s="7">
        <f t="shared" si="28"/>
        <v>0</v>
      </c>
      <c r="N85" s="7">
        <v>0</v>
      </c>
      <c r="O85" s="7"/>
      <c r="P85" s="7"/>
      <c r="Q85" s="7"/>
      <c r="R85" s="7"/>
      <c r="S85" s="7"/>
      <c r="T85" s="7">
        <f t="shared" si="29"/>
        <v>0</v>
      </c>
      <c r="U85" s="7">
        <f t="shared" si="30"/>
        <v>0</v>
      </c>
      <c r="V85" s="7">
        <f t="shared" si="31"/>
        <v>0</v>
      </c>
      <c r="W85" s="2"/>
      <c r="X85" s="2"/>
    </row>
    <row r="86" spans="1:24" ht="14" x14ac:dyDescent="0.3">
      <c r="A86" s="58" t="s">
        <v>1994</v>
      </c>
      <c r="B86" s="58" t="s">
        <v>2089</v>
      </c>
      <c r="C86" s="58"/>
      <c r="D86" s="58" t="s">
        <v>2085</v>
      </c>
      <c r="E86" s="40"/>
      <c r="F86" s="40" t="s">
        <v>2066</v>
      </c>
      <c r="G86" s="7">
        <v>1</v>
      </c>
      <c r="H86" s="7"/>
      <c r="I86" s="7"/>
      <c r="J86" s="7"/>
      <c r="K86" s="7"/>
      <c r="L86" s="7"/>
      <c r="M86" s="7">
        <f t="shared" si="28"/>
        <v>1</v>
      </c>
      <c r="N86" s="7">
        <v>1</v>
      </c>
      <c r="O86" s="7"/>
      <c r="P86" s="7"/>
      <c r="Q86" s="7"/>
      <c r="R86" s="7"/>
      <c r="S86" s="7"/>
      <c r="T86" s="7">
        <f t="shared" si="29"/>
        <v>1</v>
      </c>
      <c r="U86" s="7">
        <f t="shared" si="30"/>
        <v>0</v>
      </c>
      <c r="V86" s="7">
        <f t="shared" si="31"/>
        <v>0</v>
      </c>
      <c r="W86" s="2"/>
      <c r="X86" s="2"/>
    </row>
    <row r="87" spans="1:24" ht="14" x14ac:dyDescent="0.3">
      <c r="A87" s="58" t="s">
        <v>2012</v>
      </c>
      <c r="B87" s="58" t="s">
        <v>1959</v>
      </c>
      <c r="C87" s="59">
        <v>31861</v>
      </c>
      <c r="D87" s="58" t="s">
        <v>2090</v>
      </c>
      <c r="E87" s="40"/>
      <c r="F87" s="40" t="s">
        <v>2066</v>
      </c>
      <c r="G87" s="7">
        <v>0</v>
      </c>
      <c r="H87" s="7"/>
      <c r="I87" s="7"/>
      <c r="J87" s="7"/>
      <c r="K87" s="7"/>
      <c r="L87" s="7"/>
      <c r="M87" s="7">
        <f t="shared" si="28"/>
        <v>0</v>
      </c>
      <c r="N87" s="7">
        <v>0</v>
      </c>
      <c r="O87" s="7"/>
      <c r="P87" s="7"/>
      <c r="Q87" s="7"/>
      <c r="R87" s="7"/>
      <c r="S87" s="7"/>
      <c r="T87" s="7">
        <f t="shared" si="29"/>
        <v>0</v>
      </c>
      <c r="U87" s="7">
        <f t="shared" si="30"/>
        <v>0</v>
      </c>
      <c r="V87" s="7">
        <f t="shared" si="31"/>
        <v>0</v>
      </c>
      <c r="W87" s="2"/>
      <c r="X87" s="2"/>
    </row>
    <row r="88" spans="1:24" ht="14" x14ac:dyDescent="0.3">
      <c r="A88" s="58" t="s">
        <v>2012</v>
      </c>
      <c r="B88" s="58" t="s">
        <v>1959</v>
      </c>
      <c r="C88" s="59">
        <v>31861</v>
      </c>
      <c r="D88" s="58" t="s">
        <v>2091</v>
      </c>
      <c r="E88" s="40"/>
      <c r="F88" s="40" t="s">
        <v>2066</v>
      </c>
      <c r="G88" s="7">
        <v>0</v>
      </c>
      <c r="H88" s="7"/>
      <c r="I88" s="7"/>
      <c r="J88" s="7"/>
      <c r="K88" s="7"/>
      <c r="L88" s="7"/>
      <c r="M88" s="7">
        <f t="shared" si="28"/>
        <v>0</v>
      </c>
      <c r="N88" s="7">
        <v>0</v>
      </c>
      <c r="O88" s="7"/>
      <c r="P88" s="7"/>
      <c r="Q88" s="7"/>
      <c r="R88" s="7"/>
      <c r="S88" s="7"/>
      <c r="T88" s="7">
        <f t="shared" si="29"/>
        <v>0</v>
      </c>
      <c r="U88" s="7">
        <f t="shared" si="30"/>
        <v>0</v>
      </c>
      <c r="V88" s="7">
        <f t="shared" si="31"/>
        <v>0</v>
      </c>
      <c r="W88" s="2"/>
      <c r="X88" s="2"/>
    </row>
    <row r="89" spans="1:24" ht="14" x14ac:dyDescent="0.3">
      <c r="A89" s="58" t="s">
        <v>2012</v>
      </c>
      <c r="B89" s="58" t="s">
        <v>1959</v>
      </c>
      <c r="C89" s="59">
        <v>31861</v>
      </c>
      <c r="D89" s="58" t="s">
        <v>2092</v>
      </c>
      <c r="E89" s="40"/>
      <c r="F89" s="40" t="s">
        <v>2066</v>
      </c>
      <c r="G89" s="7">
        <v>0</v>
      </c>
      <c r="H89" s="7"/>
      <c r="I89" s="7"/>
      <c r="J89" s="7"/>
      <c r="K89" s="7"/>
      <c r="L89" s="7"/>
      <c r="M89" s="7">
        <f t="shared" si="28"/>
        <v>0</v>
      </c>
      <c r="N89" s="7">
        <v>0</v>
      </c>
      <c r="O89" s="7"/>
      <c r="P89" s="7"/>
      <c r="Q89" s="7"/>
      <c r="R89" s="7"/>
      <c r="S89" s="7"/>
      <c r="T89" s="7">
        <f t="shared" si="29"/>
        <v>0</v>
      </c>
      <c r="U89" s="7">
        <f t="shared" si="30"/>
        <v>0</v>
      </c>
      <c r="V89" s="7">
        <f t="shared" si="31"/>
        <v>0</v>
      </c>
      <c r="W89" s="2"/>
      <c r="X89" s="2"/>
    </row>
    <row r="90" spans="1:24" ht="14" x14ac:dyDescent="0.3">
      <c r="A90" s="58" t="s">
        <v>2012</v>
      </c>
      <c r="B90" s="58" t="s">
        <v>2093</v>
      </c>
      <c r="C90" s="59" t="s">
        <v>2094</v>
      </c>
      <c r="D90" s="58" t="s">
        <v>2095</v>
      </c>
      <c r="E90" s="40"/>
      <c r="F90" s="40" t="s">
        <v>2066</v>
      </c>
      <c r="G90" s="7">
        <v>0</v>
      </c>
      <c r="H90" s="7"/>
      <c r="I90" s="7"/>
      <c r="J90" s="7"/>
      <c r="K90" s="7"/>
      <c r="L90" s="7"/>
      <c r="M90" s="7">
        <f t="shared" si="28"/>
        <v>0</v>
      </c>
      <c r="N90" s="7">
        <v>0</v>
      </c>
      <c r="O90" s="7"/>
      <c r="P90" s="7"/>
      <c r="Q90" s="7"/>
      <c r="R90" s="7"/>
      <c r="S90" s="7"/>
      <c r="T90" s="7">
        <f t="shared" si="29"/>
        <v>0</v>
      </c>
      <c r="U90" s="7">
        <f t="shared" si="30"/>
        <v>0</v>
      </c>
      <c r="V90" s="7">
        <f t="shared" si="31"/>
        <v>0</v>
      </c>
      <c r="W90" s="2"/>
      <c r="X90" s="2"/>
    </row>
    <row r="91" spans="1:24" ht="14" x14ac:dyDescent="0.3">
      <c r="A91" s="58" t="s">
        <v>1994</v>
      </c>
      <c r="B91" s="58" t="s">
        <v>2096</v>
      </c>
      <c r="C91" s="59">
        <v>30431</v>
      </c>
      <c r="D91" s="58" t="s">
        <v>2097</v>
      </c>
      <c r="E91" s="40"/>
      <c r="F91" s="40" t="s">
        <v>2066</v>
      </c>
      <c r="G91" s="7">
        <v>1</v>
      </c>
      <c r="H91" s="7"/>
      <c r="I91" s="7"/>
      <c r="J91" s="7"/>
      <c r="K91" s="7"/>
      <c r="L91" s="7"/>
      <c r="M91" s="7">
        <f t="shared" si="28"/>
        <v>1</v>
      </c>
      <c r="N91" s="7">
        <v>0</v>
      </c>
      <c r="O91" s="7"/>
      <c r="P91" s="7"/>
      <c r="Q91" s="7"/>
      <c r="R91" s="7"/>
      <c r="S91" s="7"/>
      <c r="T91" s="7">
        <f t="shared" si="29"/>
        <v>0</v>
      </c>
      <c r="U91" s="7">
        <f t="shared" si="30"/>
        <v>1</v>
      </c>
      <c r="V91" s="7">
        <f t="shared" si="31"/>
        <v>1</v>
      </c>
      <c r="W91" s="2"/>
      <c r="X91" s="2"/>
    </row>
    <row r="92" spans="1:24" ht="14" x14ac:dyDescent="0.3">
      <c r="A92" s="58" t="s">
        <v>2012</v>
      </c>
      <c r="B92" s="58" t="s">
        <v>2098</v>
      </c>
      <c r="C92" s="59">
        <v>29336</v>
      </c>
      <c r="D92" s="58" t="s">
        <v>2059</v>
      </c>
      <c r="E92" s="40"/>
      <c r="F92" s="40" t="s">
        <v>2066</v>
      </c>
      <c r="G92" s="7">
        <v>0</v>
      </c>
      <c r="H92" s="7"/>
      <c r="I92" s="7"/>
      <c r="J92" s="7"/>
      <c r="K92" s="7"/>
      <c r="L92" s="7"/>
      <c r="M92" s="7">
        <f t="shared" si="28"/>
        <v>0</v>
      </c>
      <c r="N92" s="7">
        <v>0</v>
      </c>
      <c r="O92" s="7"/>
      <c r="P92" s="7"/>
      <c r="Q92" s="7"/>
      <c r="R92" s="7"/>
      <c r="S92" s="7"/>
      <c r="T92" s="7">
        <f t="shared" si="29"/>
        <v>0</v>
      </c>
      <c r="U92" s="7">
        <f t="shared" si="30"/>
        <v>0</v>
      </c>
      <c r="V92" s="7">
        <f t="shared" si="31"/>
        <v>0</v>
      </c>
      <c r="W92" s="2"/>
      <c r="X92" s="2"/>
    </row>
    <row r="93" spans="1:24" ht="14" x14ac:dyDescent="0.3">
      <c r="A93" s="58" t="s">
        <v>2012</v>
      </c>
      <c r="B93" s="58" t="s">
        <v>2099</v>
      </c>
      <c r="C93" s="59">
        <v>31426</v>
      </c>
      <c r="D93" s="58" t="s">
        <v>2100</v>
      </c>
      <c r="E93" s="40"/>
      <c r="F93" s="40" t="s">
        <v>2066</v>
      </c>
      <c r="G93" s="7">
        <v>0</v>
      </c>
      <c r="H93" s="7"/>
      <c r="I93" s="7"/>
      <c r="J93" s="7"/>
      <c r="K93" s="7"/>
      <c r="L93" s="7"/>
      <c r="M93" s="7">
        <f t="shared" si="28"/>
        <v>0</v>
      </c>
      <c r="N93" s="7">
        <v>0</v>
      </c>
      <c r="O93" s="7"/>
      <c r="P93" s="7"/>
      <c r="Q93" s="7"/>
      <c r="R93" s="7"/>
      <c r="S93" s="7"/>
      <c r="T93" s="7">
        <f t="shared" si="29"/>
        <v>0</v>
      </c>
      <c r="U93" s="7">
        <f t="shared" si="30"/>
        <v>0</v>
      </c>
      <c r="V93" s="7">
        <f t="shared" si="31"/>
        <v>0</v>
      </c>
      <c r="W93" s="2"/>
      <c r="X93" s="2"/>
    </row>
    <row r="94" spans="1:24" ht="14" x14ac:dyDescent="0.3">
      <c r="A94" s="58" t="s">
        <v>1994</v>
      </c>
      <c r="B94" s="58" t="s">
        <v>2096</v>
      </c>
      <c r="C94" s="59">
        <v>25043</v>
      </c>
      <c r="D94" s="58" t="s">
        <v>2101</v>
      </c>
      <c r="E94" s="40"/>
      <c r="F94" s="40" t="s">
        <v>2066</v>
      </c>
      <c r="G94" s="7">
        <v>1</v>
      </c>
      <c r="H94" s="7"/>
      <c r="I94" s="7"/>
      <c r="J94" s="7"/>
      <c r="K94" s="7"/>
      <c r="L94" s="7"/>
      <c r="M94" s="7">
        <f t="shared" si="28"/>
        <v>1</v>
      </c>
      <c r="N94" s="7">
        <v>0</v>
      </c>
      <c r="O94" s="7"/>
      <c r="P94" s="7"/>
      <c r="Q94" s="7"/>
      <c r="R94" s="7"/>
      <c r="S94" s="7"/>
      <c r="T94" s="7">
        <f t="shared" si="29"/>
        <v>0</v>
      </c>
      <c r="U94" s="7">
        <f t="shared" si="30"/>
        <v>1</v>
      </c>
      <c r="V94" s="7">
        <f t="shared" si="31"/>
        <v>1</v>
      </c>
      <c r="W94" s="2"/>
      <c r="X94" s="2"/>
    </row>
    <row r="95" spans="1:24" ht="14" x14ac:dyDescent="0.3">
      <c r="A95" s="58" t="s">
        <v>2012</v>
      </c>
      <c r="B95" s="58" t="s">
        <v>2102</v>
      </c>
      <c r="C95" s="59">
        <v>33647</v>
      </c>
      <c r="D95" s="58" t="s">
        <v>2091</v>
      </c>
      <c r="E95" s="40"/>
      <c r="F95" s="40" t="s">
        <v>2066</v>
      </c>
      <c r="G95" s="7">
        <v>0</v>
      </c>
      <c r="H95" s="7"/>
      <c r="I95" s="7"/>
      <c r="J95" s="7"/>
      <c r="K95" s="7"/>
      <c r="L95" s="7"/>
      <c r="M95" s="7">
        <f t="shared" si="28"/>
        <v>0</v>
      </c>
      <c r="N95" s="7">
        <v>0</v>
      </c>
      <c r="O95" s="7"/>
      <c r="P95" s="7"/>
      <c r="Q95" s="7"/>
      <c r="R95" s="7"/>
      <c r="S95" s="7"/>
      <c r="T95" s="7">
        <f t="shared" si="29"/>
        <v>0</v>
      </c>
      <c r="U95" s="7">
        <f t="shared" si="30"/>
        <v>0</v>
      </c>
      <c r="V95" s="7">
        <f t="shared" si="31"/>
        <v>0</v>
      </c>
      <c r="W95" s="2"/>
      <c r="X95" s="2"/>
    </row>
    <row r="96" spans="1:24" ht="14" x14ac:dyDescent="0.3">
      <c r="A96" s="58" t="s">
        <v>1994</v>
      </c>
      <c r="B96" s="58" t="s">
        <v>2103</v>
      </c>
      <c r="C96" s="59">
        <v>23245</v>
      </c>
      <c r="D96" s="58" t="s">
        <v>2104</v>
      </c>
      <c r="E96" s="40"/>
      <c r="F96" s="40" t="s">
        <v>2066</v>
      </c>
      <c r="G96" s="7">
        <v>1</v>
      </c>
      <c r="H96" s="7"/>
      <c r="I96" s="7"/>
      <c r="J96" s="7"/>
      <c r="K96" s="7"/>
      <c r="L96" s="7"/>
      <c r="M96" s="7">
        <f t="shared" si="28"/>
        <v>1</v>
      </c>
      <c r="N96" s="7">
        <v>0</v>
      </c>
      <c r="O96" s="7"/>
      <c r="P96" s="7"/>
      <c r="Q96" s="7"/>
      <c r="R96" s="7"/>
      <c r="S96" s="7"/>
      <c r="T96" s="7">
        <f t="shared" si="29"/>
        <v>0</v>
      </c>
      <c r="U96" s="7">
        <f t="shared" si="30"/>
        <v>1</v>
      </c>
      <c r="V96" s="7">
        <f t="shared" si="31"/>
        <v>1</v>
      </c>
      <c r="W96" s="2"/>
      <c r="X96" s="2"/>
    </row>
    <row r="97" spans="1:25" ht="14" x14ac:dyDescent="0.3">
      <c r="A97" s="58" t="s">
        <v>1994</v>
      </c>
      <c r="B97" s="58" t="s">
        <v>2105</v>
      </c>
      <c r="C97" s="59">
        <v>27907</v>
      </c>
      <c r="D97" s="58" t="s">
        <v>2106</v>
      </c>
      <c r="E97" s="40"/>
      <c r="F97" s="40" t="s">
        <v>2066</v>
      </c>
      <c r="G97" s="7">
        <v>25</v>
      </c>
      <c r="H97" s="7"/>
      <c r="I97" s="7"/>
      <c r="J97" s="7"/>
      <c r="K97" s="7"/>
      <c r="L97" s="7"/>
      <c r="M97" s="7">
        <f t="shared" si="28"/>
        <v>25</v>
      </c>
      <c r="N97" s="7">
        <v>0</v>
      </c>
      <c r="O97" s="7"/>
      <c r="P97" s="7"/>
      <c r="Q97" s="7"/>
      <c r="R97" s="7"/>
      <c r="S97" s="7"/>
      <c r="T97" s="7">
        <f t="shared" si="29"/>
        <v>0</v>
      </c>
      <c r="U97" s="7">
        <f t="shared" si="30"/>
        <v>25</v>
      </c>
      <c r="V97" s="7">
        <f t="shared" si="31"/>
        <v>25</v>
      </c>
      <c r="W97" s="2"/>
      <c r="X97" s="2"/>
    </row>
    <row r="98" spans="1:25" ht="14" x14ac:dyDescent="0.3">
      <c r="A98" s="58" t="s">
        <v>2012</v>
      </c>
      <c r="B98" s="58" t="s">
        <v>2107</v>
      </c>
      <c r="C98" s="59">
        <v>33119</v>
      </c>
      <c r="D98" s="58" t="s">
        <v>2108</v>
      </c>
      <c r="E98" s="40"/>
      <c r="F98" s="40" t="s">
        <v>2066</v>
      </c>
      <c r="G98" s="7">
        <v>0</v>
      </c>
      <c r="H98" s="7"/>
      <c r="I98" s="7"/>
      <c r="J98" s="7"/>
      <c r="K98" s="7"/>
      <c r="L98" s="7"/>
      <c r="M98" s="7">
        <f t="shared" si="28"/>
        <v>0</v>
      </c>
      <c r="N98" s="7">
        <v>0</v>
      </c>
      <c r="O98" s="7"/>
      <c r="P98" s="7"/>
      <c r="Q98" s="7"/>
      <c r="R98" s="7"/>
      <c r="S98" s="7"/>
      <c r="T98" s="7">
        <f t="shared" si="29"/>
        <v>0</v>
      </c>
      <c r="U98" s="7">
        <f t="shared" si="30"/>
        <v>0</v>
      </c>
      <c r="V98" s="7">
        <f t="shared" si="31"/>
        <v>0</v>
      </c>
      <c r="W98" s="2"/>
      <c r="X98" s="2"/>
    </row>
    <row r="99" spans="1:25" ht="14" x14ac:dyDescent="0.3">
      <c r="A99" s="58" t="s">
        <v>1994</v>
      </c>
      <c r="B99" s="58" t="s">
        <v>2098</v>
      </c>
      <c r="C99" s="58" t="s">
        <v>2109</v>
      </c>
      <c r="D99" s="58" t="s">
        <v>2061</v>
      </c>
      <c r="E99" s="40"/>
      <c r="F99" s="40" t="s">
        <v>2066</v>
      </c>
      <c r="G99" s="7">
        <v>1</v>
      </c>
      <c r="H99" s="7"/>
      <c r="I99" s="7"/>
      <c r="J99" s="7"/>
      <c r="K99" s="7"/>
      <c r="L99" s="7"/>
      <c r="M99" s="7">
        <f t="shared" si="28"/>
        <v>1</v>
      </c>
      <c r="N99" s="7">
        <v>0</v>
      </c>
      <c r="O99" s="7"/>
      <c r="P99" s="7"/>
      <c r="Q99" s="7"/>
      <c r="R99" s="7"/>
      <c r="S99" s="7"/>
      <c r="T99" s="7">
        <f t="shared" si="29"/>
        <v>0</v>
      </c>
      <c r="U99" s="7">
        <f t="shared" si="30"/>
        <v>1</v>
      </c>
      <c r="V99" s="7">
        <f t="shared" si="31"/>
        <v>1</v>
      </c>
      <c r="W99" s="2"/>
      <c r="X99" s="2"/>
    </row>
    <row r="100" spans="1:25" ht="14" x14ac:dyDescent="0.3">
      <c r="A100" s="58" t="s">
        <v>1994</v>
      </c>
      <c r="B100" s="58" t="s">
        <v>2096</v>
      </c>
      <c r="C100" s="59">
        <v>34404</v>
      </c>
      <c r="D100" s="58" t="s">
        <v>2110</v>
      </c>
      <c r="E100" s="40"/>
      <c r="F100" s="40" t="s">
        <v>2066</v>
      </c>
      <c r="G100" s="7">
        <v>1</v>
      </c>
      <c r="H100" s="7"/>
      <c r="I100" s="7"/>
      <c r="J100" s="7"/>
      <c r="K100" s="7"/>
      <c r="L100" s="7"/>
      <c r="M100" s="7">
        <f t="shared" si="28"/>
        <v>1</v>
      </c>
      <c r="N100" s="7">
        <v>0</v>
      </c>
      <c r="O100" s="7"/>
      <c r="P100" s="7"/>
      <c r="Q100" s="7"/>
      <c r="R100" s="7"/>
      <c r="S100" s="7"/>
      <c r="T100" s="7">
        <f t="shared" si="29"/>
        <v>0</v>
      </c>
      <c r="U100" s="7">
        <f t="shared" si="30"/>
        <v>1</v>
      </c>
      <c r="V100" s="7">
        <f t="shared" si="31"/>
        <v>1</v>
      </c>
      <c r="W100" s="2"/>
      <c r="X100" s="2"/>
    </row>
    <row r="101" spans="1:25" ht="14" x14ac:dyDescent="0.3">
      <c r="A101" s="58" t="s">
        <v>1994</v>
      </c>
      <c r="B101" s="58" t="s">
        <v>2111</v>
      </c>
      <c r="C101" s="59">
        <v>33791</v>
      </c>
      <c r="D101" s="58" t="s">
        <v>2112</v>
      </c>
      <c r="E101" s="40"/>
      <c r="F101" s="40" t="s">
        <v>2066</v>
      </c>
      <c r="G101" s="7">
        <v>2</v>
      </c>
      <c r="H101" s="7"/>
      <c r="I101" s="7"/>
      <c r="J101" s="7"/>
      <c r="K101" s="7"/>
      <c r="L101" s="7"/>
      <c r="M101" s="7">
        <f t="shared" si="28"/>
        <v>2</v>
      </c>
      <c r="N101" s="7">
        <v>0</v>
      </c>
      <c r="O101" s="7"/>
      <c r="P101" s="7"/>
      <c r="Q101" s="7"/>
      <c r="R101" s="7"/>
      <c r="S101" s="7"/>
      <c r="T101" s="7">
        <f t="shared" si="29"/>
        <v>0</v>
      </c>
      <c r="U101" s="7">
        <f t="shared" si="30"/>
        <v>2</v>
      </c>
      <c r="V101" s="7">
        <f t="shared" si="31"/>
        <v>2</v>
      </c>
      <c r="W101" s="2"/>
      <c r="X101" s="2"/>
    </row>
    <row r="102" spans="1:25" ht="14" x14ac:dyDescent="0.3">
      <c r="A102" s="58" t="s">
        <v>2012</v>
      </c>
      <c r="B102" s="58" t="s">
        <v>2098</v>
      </c>
      <c r="C102" s="59">
        <v>32909</v>
      </c>
      <c r="D102" s="58" t="s">
        <v>2070</v>
      </c>
      <c r="E102" s="40"/>
      <c r="F102" s="40" t="s">
        <v>2066</v>
      </c>
      <c r="G102" s="7">
        <v>0</v>
      </c>
      <c r="H102" s="7"/>
      <c r="I102" s="7"/>
      <c r="J102" s="7"/>
      <c r="K102" s="7"/>
      <c r="L102" s="7"/>
      <c r="M102" s="7">
        <f t="shared" si="28"/>
        <v>0</v>
      </c>
      <c r="N102" s="7">
        <v>0</v>
      </c>
      <c r="O102" s="7"/>
      <c r="P102" s="7"/>
      <c r="Q102" s="7"/>
      <c r="R102" s="7"/>
      <c r="S102" s="7"/>
      <c r="T102" s="7">
        <f t="shared" si="29"/>
        <v>0</v>
      </c>
      <c r="U102" s="7">
        <f t="shared" si="30"/>
        <v>0</v>
      </c>
      <c r="V102" s="7">
        <f t="shared" si="31"/>
        <v>0</v>
      </c>
      <c r="W102" s="2"/>
      <c r="X102" s="2"/>
    </row>
    <row r="103" spans="1:25" ht="14" x14ac:dyDescent="0.3">
      <c r="A103" s="58" t="s">
        <v>2012</v>
      </c>
      <c r="B103" s="58" t="s">
        <v>2098</v>
      </c>
      <c r="C103" s="59">
        <v>30963</v>
      </c>
      <c r="D103" s="58" t="s">
        <v>2055</v>
      </c>
      <c r="E103" s="40"/>
      <c r="F103" s="40" t="s">
        <v>2066</v>
      </c>
      <c r="G103" s="7">
        <v>0</v>
      </c>
      <c r="H103" s="7"/>
      <c r="I103" s="7"/>
      <c r="J103" s="7"/>
      <c r="K103" s="7"/>
      <c r="L103" s="7"/>
      <c r="M103" s="7">
        <f t="shared" si="28"/>
        <v>0</v>
      </c>
      <c r="N103" s="7">
        <v>0</v>
      </c>
      <c r="O103" s="7"/>
      <c r="P103" s="7"/>
      <c r="Q103" s="7"/>
      <c r="R103" s="7"/>
      <c r="S103" s="7"/>
      <c r="T103" s="7">
        <f t="shared" si="29"/>
        <v>0</v>
      </c>
      <c r="U103" s="7">
        <f t="shared" si="30"/>
        <v>0</v>
      </c>
      <c r="V103" s="7">
        <f t="shared" si="31"/>
        <v>0</v>
      </c>
      <c r="W103" s="2"/>
      <c r="X103" s="2"/>
    </row>
    <row r="104" spans="1:25" ht="14" x14ac:dyDescent="0.3">
      <c r="A104" s="58" t="s">
        <v>1994</v>
      </c>
      <c r="B104" s="58" t="s">
        <v>2113</v>
      </c>
      <c r="C104" s="59">
        <v>34015</v>
      </c>
      <c r="D104" s="58" t="s">
        <v>2114</v>
      </c>
      <c r="E104" s="40"/>
      <c r="F104" s="40" t="s">
        <v>2066</v>
      </c>
      <c r="G104" s="7">
        <v>1</v>
      </c>
      <c r="H104" s="7"/>
      <c r="I104" s="7"/>
      <c r="J104" s="7"/>
      <c r="K104" s="7"/>
      <c r="L104" s="7"/>
      <c r="M104" s="7">
        <f t="shared" si="28"/>
        <v>1</v>
      </c>
      <c r="N104" s="7">
        <v>0</v>
      </c>
      <c r="O104" s="7"/>
      <c r="P104" s="7"/>
      <c r="Q104" s="7"/>
      <c r="R104" s="7"/>
      <c r="S104" s="7"/>
      <c r="T104" s="7">
        <f t="shared" si="29"/>
        <v>0</v>
      </c>
      <c r="U104" s="7">
        <f t="shared" si="30"/>
        <v>1</v>
      </c>
      <c r="V104" s="7">
        <f t="shared" si="31"/>
        <v>1</v>
      </c>
      <c r="W104" s="2"/>
      <c r="X104" s="2"/>
    </row>
    <row r="105" spans="1:25" ht="14" x14ac:dyDescent="0.3">
      <c r="A105" s="58" t="s">
        <v>1994</v>
      </c>
      <c r="B105" s="58" t="s">
        <v>2115</v>
      </c>
      <c r="C105" s="58">
        <v>1991</v>
      </c>
      <c r="D105" s="58" t="s">
        <v>2116</v>
      </c>
      <c r="E105" s="40"/>
      <c r="F105" s="40" t="s">
        <v>2066</v>
      </c>
      <c r="G105" s="7">
        <v>1</v>
      </c>
      <c r="H105" s="7"/>
      <c r="I105" s="7"/>
      <c r="J105" s="7"/>
      <c r="K105" s="7"/>
      <c r="L105" s="7"/>
      <c r="M105" s="7">
        <f t="shared" si="28"/>
        <v>1</v>
      </c>
      <c r="N105" s="7">
        <v>0</v>
      </c>
      <c r="O105" s="7"/>
      <c r="P105" s="7"/>
      <c r="Q105" s="7"/>
      <c r="R105" s="7"/>
      <c r="S105" s="7"/>
      <c r="T105" s="7">
        <f t="shared" si="29"/>
        <v>0</v>
      </c>
      <c r="U105" s="7">
        <f t="shared" si="30"/>
        <v>1</v>
      </c>
      <c r="V105" s="7">
        <f t="shared" si="31"/>
        <v>1</v>
      </c>
      <c r="W105" s="2"/>
      <c r="X105" s="2"/>
    </row>
    <row r="106" spans="1:25" ht="14" x14ac:dyDescent="0.3">
      <c r="A106" s="58" t="s">
        <v>1994</v>
      </c>
      <c r="B106" s="58" t="s">
        <v>2107</v>
      </c>
      <c r="C106" s="58">
        <v>1966</v>
      </c>
      <c r="D106" s="58" t="s">
        <v>2117</v>
      </c>
      <c r="E106" s="40"/>
      <c r="F106" s="40" t="s">
        <v>2066</v>
      </c>
      <c r="G106" s="7">
        <v>2100</v>
      </c>
      <c r="H106" s="7"/>
      <c r="I106" s="7"/>
      <c r="J106" s="7"/>
      <c r="K106" s="7"/>
      <c r="L106" s="7"/>
      <c r="M106" s="7">
        <f t="shared" si="28"/>
        <v>2100</v>
      </c>
      <c r="N106" s="7">
        <v>0</v>
      </c>
      <c r="O106" s="7"/>
      <c r="P106" s="7"/>
      <c r="Q106" s="7"/>
      <c r="R106" s="7"/>
      <c r="S106" s="7"/>
      <c r="T106" s="7">
        <f t="shared" si="29"/>
        <v>0</v>
      </c>
      <c r="U106" s="7">
        <f t="shared" si="30"/>
        <v>2100</v>
      </c>
      <c r="V106" s="7">
        <f t="shared" si="31"/>
        <v>2100</v>
      </c>
      <c r="W106" s="2"/>
      <c r="X106" s="2"/>
    </row>
    <row r="107" spans="1:25" ht="14" x14ac:dyDescent="0.3">
      <c r="A107" s="58" t="s">
        <v>2118</v>
      </c>
      <c r="B107" s="58"/>
      <c r="C107" s="58"/>
      <c r="D107" s="58" t="s">
        <v>2119</v>
      </c>
      <c r="E107" s="40"/>
      <c r="F107" s="40" t="s">
        <v>2066</v>
      </c>
      <c r="G107" s="7">
        <v>200</v>
      </c>
      <c r="H107" s="7"/>
      <c r="I107" s="7"/>
      <c r="J107" s="7"/>
      <c r="K107" s="7"/>
      <c r="L107" s="7"/>
      <c r="M107" s="7">
        <f t="shared" si="28"/>
        <v>200</v>
      </c>
      <c r="N107" s="7">
        <v>0</v>
      </c>
      <c r="O107" s="7"/>
      <c r="P107" s="7"/>
      <c r="Q107" s="7"/>
      <c r="R107" s="7"/>
      <c r="S107" s="7"/>
      <c r="T107" s="7">
        <f t="shared" si="29"/>
        <v>0</v>
      </c>
      <c r="U107" s="7">
        <f t="shared" si="30"/>
        <v>200</v>
      </c>
      <c r="V107" s="7">
        <f t="shared" si="31"/>
        <v>200</v>
      </c>
      <c r="W107" s="2"/>
      <c r="X107" s="2"/>
    </row>
    <row r="108" spans="1:25" ht="14" x14ac:dyDescent="0.3">
      <c r="A108" s="58" t="s">
        <v>2120</v>
      </c>
      <c r="B108" s="58"/>
      <c r="C108" s="58"/>
      <c r="D108" s="58" t="s">
        <v>1996</v>
      </c>
      <c r="E108" s="40"/>
      <c r="F108" s="40" t="s">
        <v>2066</v>
      </c>
      <c r="G108" s="7">
        <v>1200</v>
      </c>
      <c r="H108" s="7"/>
      <c r="I108" s="7"/>
      <c r="J108" s="7"/>
      <c r="K108" s="7"/>
      <c r="L108" s="7"/>
      <c r="M108" s="7">
        <f t="shared" si="28"/>
        <v>1200</v>
      </c>
      <c r="N108" s="7">
        <v>0</v>
      </c>
      <c r="O108" s="7"/>
      <c r="P108" s="7"/>
      <c r="Q108" s="7"/>
      <c r="R108" s="7"/>
      <c r="S108" s="7"/>
      <c r="T108" s="7">
        <f t="shared" si="29"/>
        <v>0</v>
      </c>
      <c r="U108" s="7">
        <f t="shared" si="30"/>
        <v>1200</v>
      </c>
      <c r="V108" s="7">
        <f t="shared" si="31"/>
        <v>1200</v>
      </c>
      <c r="W108" s="2"/>
      <c r="X108" s="2"/>
    </row>
    <row r="109" spans="1:25" s="41" customFormat="1" ht="14" x14ac:dyDescent="0.3">
      <c r="A109" s="63" t="s">
        <v>2121</v>
      </c>
      <c r="B109" s="63"/>
      <c r="C109" s="67"/>
      <c r="D109" s="70"/>
      <c r="E109" s="68"/>
      <c r="F109" s="68" t="s">
        <v>2066</v>
      </c>
      <c r="G109" s="43">
        <v>604600.80000000005</v>
      </c>
      <c r="H109" s="43"/>
      <c r="I109" s="43"/>
      <c r="J109" s="43"/>
      <c r="K109" s="43"/>
      <c r="L109" s="43"/>
      <c r="M109" s="43">
        <f t="shared" si="28"/>
        <v>604600.80000000005</v>
      </c>
      <c r="N109" s="43">
        <v>0</v>
      </c>
      <c r="O109" s="43"/>
      <c r="P109" s="43"/>
      <c r="Q109" s="43"/>
      <c r="R109" s="43"/>
      <c r="S109" s="43"/>
      <c r="T109" s="43">
        <f t="shared" si="29"/>
        <v>0</v>
      </c>
      <c r="U109" s="7">
        <f t="shared" si="30"/>
        <v>604600.80000000005</v>
      </c>
      <c r="V109" s="43">
        <f t="shared" si="31"/>
        <v>604600.80000000005</v>
      </c>
      <c r="W109" s="43"/>
      <c r="X109" s="43"/>
      <c r="Y109" s="41" t="s">
        <v>2010</v>
      </c>
    </row>
    <row r="110" spans="1:25" x14ac:dyDescent="0.25">
      <c r="G110" s="47">
        <v>1383861.97</v>
      </c>
      <c r="H110" s="47">
        <f t="shared" ref="H110:V110" si="33">SUM(H68:H109)</f>
        <v>0</v>
      </c>
      <c r="I110" s="47">
        <f t="shared" si="33"/>
        <v>0</v>
      </c>
      <c r="J110" s="47">
        <f t="shared" si="33"/>
        <v>0</v>
      </c>
      <c r="K110" s="47">
        <f t="shared" si="33"/>
        <v>0</v>
      </c>
      <c r="L110" s="47">
        <f t="shared" si="33"/>
        <v>0</v>
      </c>
      <c r="M110" s="47">
        <f t="shared" si="33"/>
        <v>1383861.97</v>
      </c>
      <c r="N110" s="47">
        <v>69155.16</v>
      </c>
      <c r="O110" s="47">
        <f t="shared" si="33"/>
        <v>0</v>
      </c>
      <c r="P110" s="47">
        <f t="shared" si="33"/>
        <v>0</v>
      </c>
      <c r="Q110" s="47">
        <f t="shared" si="33"/>
        <v>10061.939999999999</v>
      </c>
      <c r="R110" s="47">
        <f t="shared" si="33"/>
        <v>0</v>
      </c>
      <c r="S110" s="47">
        <f t="shared" si="33"/>
        <v>0</v>
      </c>
      <c r="T110" s="47">
        <f t="shared" si="33"/>
        <v>79217.100000000006</v>
      </c>
      <c r="U110" s="47">
        <f t="shared" si="33"/>
        <v>1314706.81</v>
      </c>
      <c r="V110" s="47">
        <f t="shared" si="33"/>
        <v>1304644.8700000001</v>
      </c>
      <c r="W110" s="2"/>
      <c r="X110" s="47">
        <f>SUM(X68:X109)</f>
        <v>10061.939999999999</v>
      </c>
    </row>
    <row r="111" spans="1:25" x14ac:dyDescent="0.25">
      <c r="G111" s="45"/>
      <c r="H111" s="45"/>
      <c r="I111" s="45"/>
      <c r="J111" s="45"/>
      <c r="K111" s="45"/>
      <c r="L111" s="45"/>
      <c r="M111" s="45"/>
      <c r="N111" s="45"/>
      <c r="O111" s="45"/>
      <c r="P111" s="45"/>
      <c r="Q111" s="45"/>
      <c r="R111" s="45"/>
      <c r="S111" s="45"/>
      <c r="T111" s="45"/>
      <c r="U111" s="45"/>
      <c r="V111" s="45"/>
      <c r="W111" s="2"/>
      <c r="X111" s="2"/>
    </row>
    <row r="112" spans="1:25" ht="14" x14ac:dyDescent="0.3">
      <c r="A112" s="71" t="s">
        <v>2122</v>
      </c>
      <c r="G112" s="45"/>
      <c r="H112" s="45"/>
      <c r="I112" s="45"/>
      <c r="J112" s="45"/>
      <c r="K112" s="45"/>
      <c r="L112" s="45"/>
      <c r="M112" s="45"/>
      <c r="N112" s="45"/>
      <c r="O112" s="45"/>
      <c r="P112" s="45"/>
      <c r="Q112" s="45"/>
      <c r="R112" s="45"/>
      <c r="S112" s="45"/>
      <c r="T112" s="45"/>
      <c r="U112" s="45"/>
      <c r="V112" s="45"/>
      <c r="W112" s="2"/>
      <c r="X112" s="2"/>
    </row>
    <row r="113" spans="1:24" s="48" customFormat="1" ht="14" x14ac:dyDescent="0.3">
      <c r="A113" s="72" t="s">
        <v>2123</v>
      </c>
      <c r="B113" s="48" t="s">
        <v>2002</v>
      </c>
      <c r="D113" s="48" t="s">
        <v>2003</v>
      </c>
      <c r="G113" s="51">
        <v>0</v>
      </c>
      <c r="H113" s="73"/>
      <c r="I113" s="73"/>
      <c r="J113" s="73"/>
      <c r="K113" s="73"/>
      <c r="L113" s="73"/>
      <c r="M113" s="51">
        <f>SUM(G113:L113)</f>
        <v>0</v>
      </c>
      <c r="N113" s="51">
        <v>0</v>
      </c>
      <c r="O113" s="51"/>
      <c r="P113" s="51"/>
      <c r="Q113" s="73"/>
      <c r="R113" s="73"/>
      <c r="S113" s="73"/>
      <c r="T113" s="51">
        <f>SUM(N113:S113)</f>
        <v>0</v>
      </c>
      <c r="U113" s="51">
        <f>G113-N113</f>
        <v>0</v>
      </c>
      <c r="V113" s="51">
        <f>M113-T113</f>
        <v>0</v>
      </c>
      <c r="W113" s="51"/>
      <c r="X113" s="51">
        <f>SUM(Q113:R113)</f>
        <v>0</v>
      </c>
    </row>
    <row r="114" spans="1:24" s="48" customFormat="1" ht="14" x14ac:dyDescent="0.3">
      <c r="A114" s="72" t="s">
        <v>2089</v>
      </c>
      <c r="D114" s="48" t="s">
        <v>2124</v>
      </c>
      <c r="G114" s="51">
        <v>0</v>
      </c>
      <c r="H114" s="73"/>
      <c r="I114" s="73"/>
      <c r="J114" s="73"/>
      <c r="K114" s="73"/>
      <c r="L114" s="73"/>
      <c r="M114" s="51">
        <f>SUM(G114:L114)</f>
        <v>0</v>
      </c>
      <c r="N114" s="51">
        <v>0</v>
      </c>
      <c r="O114" s="51"/>
      <c r="P114" s="51"/>
      <c r="Q114" s="73"/>
      <c r="R114" s="73"/>
      <c r="S114" s="73"/>
      <c r="T114" s="51">
        <f>SUM(N114:S114)</f>
        <v>0</v>
      </c>
      <c r="U114" s="51">
        <f>G114-N114</f>
        <v>0</v>
      </c>
      <c r="V114" s="51">
        <f>M114-T114</f>
        <v>0</v>
      </c>
      <c r="W114" s="51"/>
      <c r="X114" s="51">
        <f>SUM(Q114:R114)</f>
        <v>0</v>
      </c>
    </row>
    <row r="115" spans="1:24" s="48" customFormat="1" x14ac:dyDescent="0.25">
      <c r="A115" s="48" t="s">
        <v>2125</v>
      </c>
      <c r="G115" s="51">
        <v>1107.06</v>
      </c>
      <c r="H115" s="73"/>
      <c r="I115" s="73"/>
      <c r="J115" s="73"/>
      <c r="K115" s="73"/>
      <c r="L115" s="73"/>
      <c r="M115" s="51">
        <f>SUM(G115:L115)</f>
        <v>1107.06</v>
      </c>
      <c r="N115" s="51">
        <v>0</v>
      </c>
      <c r="O115" s="51"/>
      <c r="P115" s="51"/>
      <c r="Q115" s="73"/>
      <c r="R115" s="73"/>
      <c r="S115" s="73"/>
      <c r="T115" s="51">
        <f>SUM(N115:S115)</f>
        <v>0</v>
      </c>
      <c r="U115" s="51">
        <f>G115-N115</f>
        <v>1107.06</v>
      </c>
      <c r="V115" s="51">
        <f>M115-T115</f>
        <v>1107.06</v>
      </c>
      <c r="W115" s="51"/>
      <c r="X115" s="51"/>
    </row>
    <row r="116" spans="1:24" x14ac:dyDescent="0.25">
      <c r="G116" s="47">
        <v>1107.06</v>
      </c>
      <c r="H116" s="47">
        <f t="shared" ref="H116:V116" si="34">SUM(H113:H115)</f>
        <v>0</v>
      </c>
      <c r="I116" s="47">
        <f t="shared" si="34"/>
        <v>0</v>
      </c>
      <c r="J116" s="47">
        <f t="shared" si="34"/>
        <v>0</v>
      </c>
      <c r="K116" s="47">
        <f t="shared" si="34"/>
        <v>0</v>
      </c>
      <c r="L116" s="47">
        <f t="shared" si="34"/>
        <v>0</v>
      </c>
      <c r="M116" s="47">
        <f t="shared" si="34"/>
        <v>1107.06</v>
      </c>
      <c r="N116" s="47">
        <v>0</v>
      </c>
      <c r="O116" s="47">
        <f t="shared" si="34"/>
        <v>0</v>
      </c>
      <c r="P116" s="47">
        <f t="shared" si="34"/>
        <v>0</v>
      </c>
      <c r="Q116" s="47">
        <f t="shared" si="34"/>
        <v>0</v>
      </c>
      <c r="R116" s="47">
        <f t="shared" si="34"/>
        <v>0</v>
      </c>
      <c r="S116" s="47">
        <f t="shared" si="34"/>
        <v>0</v>
      </c>
      <c r="T116" s="47">
        <f t="shared" si="34"/>
        <v>0</v>
      </c>
      <c r="U116" s="47">
        <f t="shared" si="34"/>
        <v>1107.06</v>
      </c>
      <c r="V116" s="47">
        <f t="shared" si="34"/>
        <v>1107.06</v>
      </c>
      <c r="W116" s="2"/>
      <c r="X116" s="47">
        <f>SUM(X113:X115)</f>
        <v>0</v>
      </c>
    </row>
    <row r="117" spans="1:24" x14ac:dyDescent="0.25">
      <c r="G117" s="45"/>
      <c r="H117" s="45"/>
      <c r="I117" s="45"/>
      <c r="J117" s="45"/>
      <c r="K117" s="45"/>
      <c r="L117" s="45"/>
      <c r="M117" s="45"/>
      <c r="N117" s="45"/>
      <c r="O117" s="45"/>
      <c r="P117" s="45"/>
      <c r="Q117" s="45"/>
      <c r="R117" s="45"/>
      <c r="S117" s="45"/>
      <c r="T117" s="45"/>
      <c r="U117" s="45"/>
      <c r="V117" s="45"/>
      <c r="W117" s="2"/>
      <c r="X117" s="2"/>
    </row>
    <row r="118" spans="1:24" x14ac:dyDescent="0.25">
      <c r="G118" s="7"/>
      <c r="H118" s="7"/>
      <c r="I118" s="7"/>
      <c r="J118" s="7"/>
      <c r="K118" s="7"/>
      <c r="L118" s="7"/>
      <c r="M118" s="7"/>
      <c r="N118" s="7"/>
      <c r="O118" s="7"/>
      <c r="P118" s="7"/>
      <c r="Q118" s="7"/>
      <c r="R118" s="7"/>
      <c r="S118" s="7"/>
      <c r="T118" s="7"/>
      <c r="U118" s="7"/>
      <c r="V118" s="7"/>
      <c r="W118" s="2"/>
      <c r="X118" s="2"/>
    </row>
    <row r="119" spans="1:24" s="38" customFormat="1" ht="13.5" thickBot="1" x14ac:dyDescent="0.35">
      <c r="G119" s="74">
        <f t="shared" ref="G119:V119" si="35">G20+G30+G35+G43+G53+G65+G110+G116</f>
        <v>5658389.2199999988</v>
      </c>
      <c r="H119" s="74">
        <f t="shared" si="35"/>
        <v>0</v>
      </c>
      <c r="I119" s="74">
        <f t="shared" si="35"/>
        <v>0</v>
      </c>
      <c r="J119" s="74">
        <f t="shared" si="35"/>
        <v>0</v>
      </c>
      <c r="K119" s="74">
        <f t="shared" si="35"/>
        <v>0</v>
      </c>
      <c r="L119" s="74">
        <f t="shared" si="35"/>
        <v>0</v>
      </c>
      <c r="M119" s="74">
        <f t="shared" si="35"/>
        <v>5658389.2199999988</v>
      </c>
      <c r="N119" s="74">
        <f t="shared" si="35"/>
        <v>385737.98</v>
      </c>
      <c r="O119" s="74">
        <f t="shared" si="35"/>
        <v>0</v>
      </c>
      <c r="P119" s="74">
        <f t="shared" si="35"/>
        <v>0</v>
      </c>
      <c r="Q119" s="74">
        <f t="shared" si="35"/>
        <v>162092.58000000002</v>
      </c>
      <c r="R119" s="74">
        <f t="shared" si="35"/>
        <v>-765</v>
      </c>
      <c r="S119" s="74">
        <f t="shared" si="35"/>
        <v>0</v>
      </c>
      <c r="T119" s="74">
        <f t="shared" si="35"/>
        <v>547065.56000000006</v>
      </c>
      <c r="U119" s="74">
        <f t="shared" si="35"/>
        <v>5272651.24</v>
      </c>
      <c r="V119" s="74">
        <f t="shared" si="35"/>
        <v>5111323.66</v>
      </c>
      <c r="W119" s="14"/>
      <c r="X119" s="74">
        <f>X20+X30+X35+X43+X53+X65+X110+X116</f>
        <v>161327.58000000002</v>
      </c>
    </row>
    <row r="120" spans="1:24" ht="13" thickTop="1" x14ac:dyDescent="0.25">
      <c r="G120" s="13"/>
      <c r="H120" s="13"/>
      <c r="I120" s="13"/>
      <c r="J120" s="13"/>
      <c r="K120" s="13"/>
      <c r="L120" s="13"/>
      <c r="M120" s="13"/>
      <c r="N120" s="13"/>
      <c r="O120" s="13"/>
      <c r="P120" s="13"/>
      <c r="Q120" s="13"/>
      <c r="R120" s="13"/>
      <c r="S120" s="13"/>
      <c r="T120" s="13"/>
      <c r="U120" s="13"/>
      <c r="V120" s="13"/>
    </row>
  </sheetData>
  <mergeCells count="1">
    <mergeCell ref="U1:U6"/>
  </mergeCells>
  <phoneticPr fontId="15" type="noConversion"/>
  <pageMargins left="1.0236220472440944" right="1.1023622047244095" top="0.43307086614173229" bottom="0.51181102362204722" header="0.23622047244094491" footer="0.23622047244094491"/>
  <pageSetup paperSize="9" scale="20" fitToHeight="4"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9">
    <pageSetUpPr fitToPage="1"/>
  </sheetPr>
  <dimension ref="A1:AH120"/>
  <sheetViews>
    <sheetView workbookViewId="0"/>
  </sheetViews>
  <sheetFormatPr defaultColWidth="9.296875" defaultRowHeight="12.5" x14ac:dyDescent="0.25"/>
  <cols>
    <col min="1" max="1" width="50.19921875" style="20" bestFit="1" customWidth="1"/>
    <col min="2" max="2" width="38.296875" style="20" bestFit="1" customWidth="1"/>
    <col min="3" max="3" width="18.296875" style="20" bestFit="1" customWidth="1"/>
    <col min="4" max="4" width="30.19921875" style="20" bestFit="1" customWidth="1"/>
    <col min="5" max="5" width="8.5" style="20" bestFit="1" customWidth="1"/>
    <col min="6" max="6" width="7.296875" style="20" bestFit="1" customWidth="1"/>
    <col min="7" max="24" width="19.5" style="3" customWidth="1"/>
    <col min="25" max="25" width="19.5" style="20" customWidth="1"/>
    <col min="26" max="27" width="9.296875" style="20"/>
    <col min="28" max="28" width="14" style="20" bestFit="1" customWidth="1"/>
    <col min="29" max="29" width="17.296875" style="20" bestFit="1" customWidth="1"/>
    <col min="30" max="31" width="9.296875" style="20"/>
    <col min="32" max="32" width="59.69921875" style="20" bestFit="1" customWidth="1"/>
    <col min="33" max="33" width="14" style="20" bestFit="1" customWidth="1"/>
    <col min="34" max="34" width="17.296875" style="20" bestFit="1" customWidth="1"/>
    <col min="35" max="16384" width="9.296875" style="20"/>
  </cols>
  <sheetData>
    <row r="1" spans="1:34" ht="15.5" x14ac:dyDescent="0.35">
      <c r="A1" s="19" t="s">
        <v>73</v>
      </c>
      <c r="G1" s="13"/>
      <c r="I1" s="13"/>
      <c r="J1" s="13"/>
      <c r="K1" s="13"/>
      <c r="L1" s="13"/>
      <c r="M1" s="13"/>
      <c r="N1" s="13"/>
      <c r="O1" s="13"/>
      <c r="P1" s="13"/>
      <c r="U1" s="765" t="s">
        <v>1967</v>
      </c>
    </row>
    <row r="2" spans="1:34" ht="15.5" x14ac:dyDescent="0.35">
      <c r="A2" s="19"/>
      <c r="I2" s="13"/>
      <c r="J2" s="13"/>
      <c r="K2" s="13"/>
      <c r="L2" s="13"/>
      <c r="M2" s="13"/>
      <c r="N2" s="13"/>
      <c r="O2" s="13"/>
      <c r="P2" s="13"/>
      <c r="U2" s="766"/>
    </row>
    <row r="3" spans="1:34" ht="15.5" x14ac:dyDescent="0.35">
      <c r="A3" s="19" t="s">
        <v>2126</v>
      </c>
      <c r="I3" s="13"/>
      <c r="J3" s="13"/>
      <c r="K3" s="13"/>
      <c r="L3" s="13"/>
      <c r="M3" s="13"/>
      <c r="N3" s="13"/>
      <c r="O3" s="13"/>
      <c r="P3" s="13"/>
      <c r="U3" s="766"/>
    </row>
    <row r="4" spans="1:34" ht="15.5" x14ac:dyDescent="0.35">
      <c r="A4" s="19"/>
      <c r="U4" s="766"/>
    </row>
    <row r="5" spans="1:34" ht="15.5" x14ac:dyDescent="0.35">
      <c r="A5" s="19" t="s">
        <v>1969</v>
      </c>
      <c r="U5" s="766"/>
    </row>
    <row r="6" spans="1:34" ht="13.5" thickBot="1" x14ac:dyDescent="0.35">
      <c r="U6" s="767"/>
      <c r="X6" s="21"/>
    </row>
    <row r="7" spans="1:34" ht="16" thickBot="1" x14ac:dyDescent="0.4">
      <c r="A7" s="22"/>
      <c r="G7" s="23" t="s">
        <v>1970</v>
      </c>
      <c r="H7" s="24"/>
      <c r="I7" s="24"/>
      <c r="J7" s="24"/>
      <c r="K7" s="24"/>
      <c r="L7" s="25"/>
      <c r="M7" s="26"/>
      <c r="N7" s="24" t="s">
        <v>1971</v>
      </c>
      <c r="O7" s="24"/>
      <c r="P7" s="24"/>
      <c r="Q7" s="24"/>
      <c r="R7" s="24"/>
      <c r="S7" s="24"/>
      <c r="T7" s="24"/>
      <c r="U7" s="27" t="s">
        <v>1972</v>
      </c>
      <c r="V7" s="26"/>
      <c r="X7" s="28" t="s">
        <v>1973</v>
      </c>
      <c r="Y7" s="9" t="s">
        <v>1974</v>
      </c>
      <c r="AA7" s="75" t="s">
        <v>1975</v>
      </c>
      <c r="AB7" s="75" t="s">
        <v>1976</v>
      </c>
      <c r="AC7" s="75" t="s">
        <v>275</v>
      </c>
      <c r="AE7" s="76" t="s">
        <v>1977</v>
      </c>
      <c r="AF7" s="76" t="s">
        <v>1978</v>
      </c>
      <c r="AG7" s="78">
        <v>90420199</v>
      </c>
      <c r="AH7" s="77">
        <f>X20</f>
        <v>103872.34000000001</v>
      </c>
    </row>
    <row r="8" spans="1:34" ht="15.5" x14ac:dyDescent="0.35">
      <c r="A8" s="22"/>
      <c r="G8" s="29"/>
      <c r="H8" s="29"/>
      <c r="I8" s="29"/>
      <c r="J8" s="29"/>
      <c r="K8" s="29"/>
      <c r="L8" s="29"/>
      <c r="M8" s="29"/>
      <c r="N8" s="29"/>
      <c r="O8" s="29"/>
      <c r="P8" s="29"/>
      <c r="Q8" s="29"/>
      <c r="R8" s="29"/>
      <c r="S8" s="29"/>
      <c r="T8" s="29"/>
      <c r="U8" s="29"/>
      <c r="V8" s="29"/>
      <c r="X8" s="30"/>
      <c r="AA8" s="76">
        <v>299</v>
      </c>
      <c r="AB8" s="76" t="s">
        <v>1979</v>
      </c>
      <c r="AC8" s="77">
        <f t="shared" ref="AC8:AC28" si="0">SUMIF(Y:Y,AA8,X:X)</f>
        <v>56075.6</v>
      </c>
      <c r="AE8" s="76" t="s">
        <v>1977</v>
      </c>
      <c r="AF8" s="76" t="s">
        <v>1980</v>
      </c>
      <c r="AG8" s="79">
        <v>90430199</v>
      </c>
      <c r="AH8" s="77">
        <f>X30</f>
        <v>4868.6499999999996</v>
      </c>
    </row>
    <row r="9" spans="1:34" s="31" customFormat="1" ht="15.5" x14ac:dyDescent="0.35">
      <c r="B9" s="32"/>
      <c r="C9" s="32"/>
      <c r="D9" s="33" t="s">
        <v>1981</v>
      </c>
      <c r="E9" s="33" t="s">
        <v>1982</v>
      </c>
      <c r="F9" s="33"/>
      <c r="G9" s="34">
        <v>39538</v>
      </c>
      <c r="H9" s="35" t="s">
        <v>1983</v>
      </c>
      <c r="I9" s="34" t="s">
        <v>1984</v>
      </c>
      <c r="J9" s="34" t="s">
        <v>1985</v>
      </c>
      <c r="K9" s="34" t="s">
        <v>1986</v>
      </c>
      <c r="L9" s="34" t="s">
        <v>1987</v>
      </c>
      <c r="M9" s="34">
        <v>39903</v>
      </c>
      <c r="N9" s="34">
        <f>G9</f>
        <v>39538</v>
      </c>
      <c r="O9" s="34" t="s">
        <v>1984</v>
      </c>
      <c r="P9" s="34" t="s">
        <v>1985</v>
      </c>
      <c r="Q9" s="34" t="s">
        <v>1988</v>
      </c>
      <c r="R9" s="34" t="s">
        <v>1989</v>
      </c>
      <c r="S9" s="34" t="s">
        <v>1987</v>
      </c>
      <c r="T9" s="34">
        <f>M9</f>
        <v>39903</v>
      </c>
      <c r="U9" s="34">
        <f>G9</f>
        <v>39538</v>
      </c>
      <c r="V9" s="34">
        <f>M9</f>
        <v>39903</v>
      </c>
      <c r="W9" s="36"/>
      <c r="X9" s="36"/>
      <c r="AA9" s="76">
        <v>320</v>
      </c>
      <c r="AB9" s="76" t="s">
        <v>1990</v>
      </c>
      <c r="AC9" s="77">
        <f t="shared" si="0"/>
        <v>0</v>
      </c>
      <c r="AE9" s="76" t="s">
        <v>1977</v>
      </c>
      <c r="AF9" s="76" t="s">
        <v>1991</v>
      </c>
      <c r="AG9" s="79">
        <v>90440199</v>
      </c>
      <c r="AH9" s="77">
        <f>X35</f>
        <v>1831.2</v>
      </c>
    </row>
    <row r="10" spans="1:34" ht="15.5" x14ac:dyDescent="0.35">
      <c r="A10" s="37" t="s">
        <v>1992</v>
      </c>
      <c r="B10" s="22"/>
      <c r="C10" s="22"/>
      <c r="D10" s="37"/>
      <c r="E10" s="37"/>
      <c r="F10" s="37"/>
      <c r="G10" s="11"/>
      <c r="H10" s="10"/>
      <c r="I10" s="11"/>
      <c r="J10" s="11"/>
      <c r="K10" s="11"/>
      <c r="L10" s="11"/>
      <c r="M10" s="11"/>
      <c r="N10" s="11"/>
      <c r="O10" s="11"/>
      <c r="P10" s="11"/>
      <c r="Q10" s="11"/>
      <c r="R10" s="11"/>
      <c r="S10" s="11"/>
      <c r="T10" s="11"/>
      <c r="U10" s="11"/>
      <c r="V10" s="11"/>
      <c r="W10" s="2"/>
      <c r="X10" s="2"/>
      <c r="AA10" s="76">
        <v>326</v>
      </c>
      <c r="AB10" s="76" t="s">
        <v>1990</v>
      </c>
      <c r="AC10" s="77">
        <f t="shared" si="0"/>
        <v>4387.3999999999996</v>
      </c>
      <c r="AE10" s="76" t="s">
        <v>1977</v>
      </c>
      <c r="AF10" s="76" t="s">
        <v>1993</v>
      </c>
      <c r="AG10" s="79">
        <v>90460199</v>
      </c>
      <c r="AH10" s="77">
        <f>X43</f>
        <v>23932.29</v>
      </c>
    </row>
    <row r="11" spans="1:34" ht="15.5" x14ac:dyDescent="0.35">
      <c r="A11" s="37" t="s">
        <v>1994</v>
      </c>
      <c r="B11" s="22"/>
      <c r="C11" s="22"/>
      <c r="D11" s="22"/>
      <c r="E11" s="22"/>
      <c r="F11" s="22"/>
      <c r="G11" s="12"/>
      <c r="H11" s="12"/>
      <c r="I11" s="12"/>
      <c r="J11" s="12"/>
      <c r="K11" s="12"/>
      <c r="L11" s="12"/>
      <c r="M11" s="12"/>
      <c r="N11" s="12"/>
      <c r="O11" s="12"/>
      <c r="P11" s="12"/>
      <c r="Q11" s="12"/>
      <c r="R11" s="12"/>
      <c r="S11" s="12"/>
      <c r="T11" s="12"/>
      <c r="U11" s="12"/>
      <c r="V11" s="12"/>
      <c r="W11" s="2"/>
      <c r="X11" s="2"/>
      <c r="AA11" s="76">
        <v>327</v>
      </c>
      <c r="AB11" s="76" t="s">
        <v>1990</v>
      </c>
      <c r="AC11" s="77">
        <f t="shared" si="0"/>
        <v>208.75</v>
      </c>
      <c r="AE11" s="76" t="s">
        <v>1977</v>
      </c>
      <c r="AF11" s="76" t="s">
        <v>1995</v>
      </c>
      <c r="AG11" s="79">
        <v>90450199</v>
      </c>
      <c r="AH11" s="77">
        <f>X53</f>
        <v>8583</v>
      </c>
    </row>
    <row r="12" spans="1:34" ht="15.5" x14ac:dyDescent="0.35">
      <c r="A12" s="20" t="s">
        <v>1996</v>
      </c>
      <c r="D12" s="39"/>
      <c r="E12" s="8">
        <f>(100/60)/100</f>
        <v>1.6666666666666666E-2</v>
      </c>
      <c r="F12" s="8" t="s">
        <v>1997</v>
      </c>
      <c r="G12" s="7">
        <v>265000</v>
      </c>
      <c r="H12" s="7"/>
      <c r="I12" s="7"/>
      <c r="J12" s="7"/>
      <c r="K12" s="7"/>
      <c r="L12" s="7"/>
      <c r="M12" s="7">
        <f t="shared" ref="M12:M17" si="1">SUM(G12:L12)</f>
        <v>265000</v>
      </c>
      <c r="N12" s="7">
        <f>'FAR 0809 Budgeted'!T12</f>
        <v>13250.34</v>
      </c>
      <c r="O12" s="7"/>
      <c r="P12" s="7"/>
      <c r="Q12" s="7">
        <f>ROUND(M12*E12,2)</f>
        <v>4416.67</v>
      </c>
      <c r="R12" s="7"/>
      <c r="S12" s="7"/>
      <c r="T12" s="7">
        <f>SUM(N12:S12)</f>
        <v>17667.010000000002</v>
      </c>
      <c r="U12" s="7">
        <f t="shared" ref="U12:U19" si="2">G12-N12</f>
        <v>251749.66</v>
      </c>
      <c r="V12" s="7">
        <f t="shared" ref="V12:V17" si="3">M12-T12</f>
        <v>247332.99</v>
      </c>
      <c r="W12" s="2"/>
      <c r="X12" s="2">
        <f t="shared" ref="X12:X19" si="4">SUM(Q12:R12)</f>
        <v>4416.67</v>
      </c>
      <c r="Y12" s="20">
        <v>401</v>
      </c>
      <c r="AA12" s="76">
        <v>328</v>
      </c>
      <c r="AB12" s="76" t="s">
        <v>1990</v>
      </c>
      <c r="AC12" s="77">
        <f t="shared" si="0"/>
        <v>12342.11</v>
      </c>
      <c r="AE12" s="76" t="s">
        <v>1977</v>
      </c>
      <c r="AF12" s="76" t="s">
        <v>1998</v>
      </c>
      <c r="AG12" s="79">
        <v>90470199</v>
      </c>
      <c r="AH12" s="77">
        <f>X65</f>
        <v>6723.16</v>
      </c>
    </row>
    <row r="13" spans="1:34" ht="15.5" x14ac:dyDescent="0.35">
      <c r="A13" s="20" t="s">
        <v>44</v>
      </c>
      <c r="D13" s="39"/>
      <c r="E13" s="8">
        <f>(100/30)/100</f>
        <v>3.3333333333333333E-2</v>
      </c>
      <c r="F13" s="8" t="s">
        <v>1997</v>
      </c>
      <c r="G13" s="7">
        <v>1503000</v>
      </c>
      <c r="H13" s="7"/>
      <c r="I13" s="7"/>
      <c r="J13" s="7"/>
      <c r="K13" s="7"/>
      <c r="L13" s="7"/>
      <c r="M13" s="7">
        <f t="shared" si="1"/>
        <v>1503000</v>
      </c>
      <c r="N13" s="7">
        <f>'FAR 0809 Budgeted'!T13</f>
        <v>150300</v>
      </c>
      <c r="O13" s="7"/>
      <c r="P13" s="7"/>
      <c r="Q13" s="7">
        <f>ROUND(M13*E13,2)</f>
        <v>50100</v>
      </c>
      <c r="R13" s="7"/>
      <c r="S13" s="7"/>
      <c r="T13" s="7">
        <f>SUM(N13:S13)</f>
        <v>200400</v>
      </c>
      <c r="U13" s="7">
        <f t="shared" si="2"/>
        <v>1352700</v>
      </c>
      <c r="V13" s="7">
        <f t="shared" si="3"/>
        <v>1302600</v>
      </c>
      <c r="W13" s="2"/>
      <c r="X13" s="2">
        <f t="shared" si="4"/>
        <v>50100</v>
      </c>
      <c r="Y13" s="20">
        <v>299</v>
      </c>
      <c r="AA13" s="76">
        <v>329</v>
      </c>
      <c r="AB13" s="76" t="s">
        <v>1990</v>
      </c>
      <c r="AC13" s="77">
        <f t="shared" si="0"/>
        <v>562.79999999999995</v>
      </c>
      <c r="AE13" s="76" t="s">
        <v>1977</v>
      </c>
      <c r="AF13" s="76" t="s">
        <v>1999</v>
      </c>
      <c r="AG13" s="79">
        <v>90480199</v>
      </c>
      <c r="AH13" s="77">
        <f>'FAR 0910 Budgeted'!X110</f>
        <v>10061.939999999999</v>
      </c>
    </row>
    <row r="14" spans="1:34" ht="15.5" x14ac:dyDescent="0.35">
      <c r="A14" s="20" t="s">
        <v>2000</v>
      </c>
      <c r="D14" s="39"/>
      <c r="E14" s="40"/>
      <c r="F14" s="8" t="s">
        <v>1997</v>
      </c>
      <c r="G14" s="7">
        <v>300000</v>
      </c>
      <c r="H14" s="7"/>
      <c r="I14" s="7"/>
      <c r="J14" s="7"/>
      <c r="K14" s="7"/>
      <c r="L14" s="7"/>
      <c r="M14" s="7">
        <f t="shared" si="1"/>
        <v>300000</v>
      </c>
      <c r="N14" s="7">
        <f>'FAR 0809 Budgeted'!T14</f>
        <v>0</v>
      </c>
      <c r="O14" s="7"/>
      <c r="P14" s="7"/>
      <c r="Q14" s="7"/>
      <c r="R14" s="7"/>
      <c r="S14" s="7"/>
      <c r="T14" s="7"/>
      <c r="U14" s="7">
        <f t="shared" si="2"/>
        <v>300000</v>
      </c>
      <c r="V14" s="7">
        <f t="shared" si="3"/>
        <v>300000</v>
      </c>
      <c r="W14" s="2"/>
      <c r="X14" s="2">
        <f t="shared" si="4"/>
        <v>0</v>
      </c>
      <c r="AA14" s="76">
        <v>330</v>
      </c>
      <c r="AB14" s="76" t="s">
        <v>1990</v>
      </c>
      <c r="AC14" s="77">
        <f t="shared" si="0"/>
        <v>980</v>
      </c>
      <c r="AE14" s="76"/>
      <c r="AF14" s="76"/>
      <c r="AG14" s="79"/>
      <c r="AH14" s="77"/>
    </row>
    <row r="15" spans="1:34" ht="15.5" x14ac:dyDescent="0.35">
      <c r="A15" s="20" t="s">
        <v>2001</v>
      </c>
      <c r="B15" s="20" t="s">
        <v>2002</v>
      </c>
      <c r="C15" s="20" t="s">
        <v>2003</v>
      </c>
      <c r="E15" s="40"/>
      <c r="F15" s="8" t="s">
        <v>1997</v>
      </c>
      <c r="G15" s="7">
        <v>150000</v>
      </c>
      <c r="H15" s="7"/>
      <c r="I15" s="7"/>
      <c r="J15" s="7"/>
      <c r="K15" s="7"/>
      <c r="L15" s="7"/>
      <c r="M15" s="7">
        <f t="shared" si="1"/>
        <v>150000</v>
      </c>
      <c r="N15" s="7">
        <f>'FAR 0809 Budgeted'!T15</f>
        <v>0</v>
      </c>
      <c r="O15" s="7"/>
      <c r="P15" s="7"/>
      <c r="Q15" s="7"/>
      <c r="R15" s="7"/>
      <c r="S15" s="7"/>
      <c r="T15" s="7">
        <f>SUM(N15:S15)</f>
        <v>0</v>
      </c>
      <c r="U15" s="7">
        <f t="shared" si="2"/>
        <v>150000</v>
      </c>
      <c r="V15" s="7">
        <f t="shared" si="3"/>
        <v>150000</v>
      </c>
      <c r="W15" s="2"/>
      <c r="X15" s="2">
        <f t="shared" si="4"/>
        <v>0</v>
      </c>
      <c r="AA15" s="76">
        <v>331</v>
      </c>
      <c r="AB15" s="76" t="s">
        <v>1990</v>
      </c>
      <c r="AC15" s="77">
        <f t="shared" si="0"/>
        <v>1291.42</v>
      </c>
      <c r="AE15" s="76" t="s">
        <v>2004</v>
      </c>
      <c r="AF15" s="76" t="s">
        <v>2005</v>
      </c>
      <c r="AG15" s="79">
        <v>49200199</v>
      </c>
      <c r="AH15" s="77">
        <f>SUMIF(AB:AB,AG15,AC:AC)</f>
        <v>18446.059999999998</v>
      </c>
    </row>
    <row r="16" spans="1:34" s="41" customFormat="1" ht="15.5" x14ac:dyDescent="0.35">
      <c r="A16" s="41" t="s">
        <v>2006</v>
      </c>
      <c r="E16" s="42">
        <f>(100/30)/100</f>
        <v>3.3333333333333333E-2</v>
      </c>
      <c r="F16" s="42" t="s">
        <v>1997</v>
      </c>
      <c r="G16" s="43">
        <v>377887.12</v>
      </c>
      <c r="H16" s="43"/>
      <c r="I16" s="43"/>
      <c r="J16" s="43"/>
      <c r="K16" s="43"/>
      <c r="L16" s="43"/>
      <c r="M16" s="43">
        <f t="shared" si="1"/>
        <v>377887.12</v>
      </c>
      <c r="N16" s="7">
        <f>'FAR 0809 Budgeted'!T16</f>
        <v>25192.48</v>
      </c>
      <c r="O16" s="43"/>
      <c r="P16" s="43"/>
      <c r="Q16" s="43">
        <f>ROUND(M16*E16,2)</f>
        <v>12596.24</v>
      </c>
      <c r="R16" s="43"/>
      <c r="S16" s="43"/>
      <c r="T16" s="43">
        <f>SUM(N16:S16)</f>
        <v>37788.720000000001</v>
      </c>
      <c r="U16" s="7">
        <f t="shared" si="2"/>
        <v>352694.64</v>
      </c>
      <c r="V16" s="43">
        <f t="shared" si="3"/>
        <v>340098.4</v>
      </c>
      <c r="W16" s="43"/>
      <c r="X16" s="43">
        <f t="shared" si="4"/>
        <v>12596.24</v>
      </c>
      <c r="Y16" s="41" t="s">
        <v>2007</v>
      </c>
      <c r="AA16" s="76">
        <v>337</v>
      </c>
      <c r="AB16" s="76" t="s">
        <v>1990</v>
      </c>
      <c r="AC16" s="77">
        <f t="shared" si="0"/>
        <v>669.5</v>
      </c>
      <c r="AE16" s="76" t="s">
        <v>2004</v>
      </c>
      <c r="AF16" s="76" t="s">
        <v>2008</v>
      </c>
      <c r="AG16" s="79">
        <v>29200199</v>
      </c>
      <c r="AH16" s="77">
        <f>SUMIF(AB:AB,AG16,AC:AC)</f>
        <v>56075.6</v>
      </c>
    </row>
    <row r="17" spans="1:34" s="41" customFormat="1" ht="15.5" x14ac:dyDescent="0.35">
      <c r="A17" s="41" t="s">
        <v>2009</v>
      </c>
      <c r="E17" s="42">
        <f>(100/30)/100</f>
        <v>3.3333333333333333E-2</v>
      </c>
      <c r="F17" s="42" t="s">
        <v>1997</v>
      </c>
      <c r="G17" s="43">
        <v>732519.48</v>
      </c>
      <c r="H17" s="43"/>
      <c r="I17" s="43"/>
      <c r="J17" s="43"/>
      <c r="K17" s="43"/>
      <c r="L17" s="43"/>
      <c r="M17" s="43">
        <f t="shared" si="1"/>
        <v>732519.48</v>
      </c>
      <c r="N17" s="7">
        <f>'FAR 0809 Budgeted'!T17</f>
        <v>48834.64</v>
      </c>
      <c r="O17" s="43"/>
      <c r="P17" s="43"/>
      <c r="Q17" s="43">
        <f>ROUND(M17*E17,2)</f>
        <v>24417.32</v>
      </c>
      <c r="R17" s="43"/>
      <c r="S17" s="43"/>
      <c r="T17" s="43">
        <f>SUM(N17:S17)</f>
        <v>73251.959999999992</v>
      </c>
      <c r="U17" s="7">
        <f t="shared" si="2"/>
        <v>683684.84</v>
      </c>
      <c r="V17" s="43">
        <f t="shared" si="3"/>
        <v>659267.52</v>
      </c>
      <c r="W17" s="43"/>
      <c r="X17" s="43">
        <f t="shared" si="4"/>
        <v>24417.32</v>
      </c>
      <c r="Y17" s="41" t="s">
        <v>2010</v>
      </c>
      <c r="AA17" s="76">
        <v>338</v>
      </c>
      <c r="AB17" s="76" t="s">
        <v>1990</v>
      </c>
      <c r="AC17" s="77">
        <f t="shared" si="0"/>
        <v>0</v>
      </c>
      <c r="AE17" s="76" t="s">
        <v>2004</v>
      </c>
      <c r="AF17" s="76" t="s">
        <v>2011</v>
      </c>
      <c r="AG17" s="79">
        <v>48420199</v>
      </c>
      <c r="AH17" s="77">
        <f>SUMIF(AB:AB,AG17,AC:AC)</f>
        <v>0</v>
      </c>
    </row>
    <row r="18" spans="1:34" ht="15.5" x14ac:dyDescent="0.35">
      <c r="A18" s="37" t="s">
        <v>2012</v>
      </c>
      <c r="E18" s="44"/>
      <c r="F18" s="44"/>
      <c r="G18" s="45"/>
      <c r="H18" s="45"/>
      <c r="I18" s="45"/>
      <c r="J18" s="45"/>
      <c r="K18" s="45"/>
      <c r="L18" s="45"/>
      <c r="M18" s="7"/>
      <c r="N18" s="7">
        <f>'FAR 0809 Budgeted'!T18</f>
        <v>0</v>
      </c>
      <c r="O18" s="45"/>
      <c r="P18" s="45"/>
      <c r="Q18" s="7"/>
      <c r="R18" s="7"/>
      <c r="S18" s="45"/>
      <c r="T18" s="45"/>
      <c r="U18" s="7">
        <f t="shared" si="2"/>
        <v>0</v>
      </c>
      <c r="V18" s="45"/>
      <c r="W18" s="2"/>
      <c r="X18" s="2">
        <f t="shared" si="4"/>
        <v>0</v>
      </c>
      <c r="AA18" s="76">
        <v>340</v>
      </c>
      <c r="AB18" s="76" t="s">
        <v>1990</v>
      </c>
      <c r="AC18" s="77">
        <f t="shared" si="0"/>
        <v>0</v>
      </c>
      <c r="AE18" s="76" t="s">
        <v>2004</v>
      </c>
      <c r="AF18" s="76" t="s">
        <v>2013</v>
      </c>
      <c r="AG18" s="79">
        <v>39200199</v>
      </c>
      <c r="AH18" s="77">
        <f>SUMIF(AB:AB,AG18,AC:AC)</f>
        <v>85350.920000000013</v>
      </c>
    </row>
    <row r="19" spans="1:34" ht="15.5" x14ac:dyDescent="0.35">
      <c r="A19" s="20" t="s">
        <v>2014</v>
      </c>
      <c r="B19" s="20" t="s">
        <v>2015</v>
      </c>
      <c r="E19" s="8">
        <f>(100/38)/100</f>
        <v>2.6315789473684213E-2</v>
      </c>
      <c r="F19" s="8" t="s">
        <v>1997</v>
      </c>
      <c r="G19" s="7">
        <v>469000</v>
      </c>
      <c r="H19" s="7"/>
      <c r="I19" s="7"/>
      <c r="J19" s="7"/>
      <c r="K19" s="7"/>
      <c r="L19" s="7"/>
      <c r="M19" s="7">
        <f>SUM(G19:L19)</f>
        <v>469000</v>
      </c>
      <c r="N19" s="7">
        <f>'FAR 0809 Budgeted'!T19</f>
        <v>37026.22</v>
      </c>
      <c r="O19" s="7"/>
      <c r="P19" s="7"/>
      <c r="Q19" s="7">
        <f>ROUND(M19*E19,2)</f>
        <v>12342.11</v>
      </c>
      <c r="R19" s="7"/>
      <c r="S19" s="7"/>
      <c r="T19" s="7">
        <f>SUM(N19:S19)</f>
        <v>49368.33</v>
      </c>
      <c r="U19" s="7">
        <f t="shared" si="2"/>
        <v>431973.78</v>
      </c>
      <c r="V19" s="7">
        <f>M19-T19</f>
        <v>419631.67</v>
      </c>
      <c r="W19" s="2"/>
      <c r="X19" s="2">
        <f t="shared" si="4"/>
        <v>12342.11</v>
      </c>
      <c r="Y19" s="20">
        <v>328</v>
      </c>
      <c r="AA19" s="76">
        <v>342</v>
      </c>
      <c r="AB19" s="76" t="s">
        <v>1990</v>
      </c>
      <c r="AC19" s="77">
        <f t="shared" si="0"/>
        <v>0</v>
      </c>
      <c r="AE19" s="76"/>
      <c r="AF19" s="76"/>
      <c r="AG19" s="79"/>
      <c r="AH19" s="77"/>
    </row>
    <row r="20" spans="1:34" ht="15.5" x14ac:dyDescent="0.35">
      <c r="E20" s="46"/>
      <c r="F20" s="46"/>
      <c r="G20" s="47">
        <v>3797406.6</v>
      </c>
      <c r="H20" s="47">
        <f t="shared" ref="H20:M20" si="5">SUM(H12:H19)</f>
        <v>0</v>
      </c>
      <c r="I20" s="47">
        <f t="shared" si="5"/>
        <v>0</v>
      </c>
      <c r="J20" s="47">
        <f t="shared" si="5"/>
        <v>0</v>
      </c>
      <c r="K20" s="47">
        <f t="shared" si="5"/>
        <v>0</v>
      </c>
      <c r="L20" s="47">
        <f t="shared" si="5"/>
        <v>0</v>
      </c>
      <c r="M20" s="47">
        <f t="shared" si="5"/>
        <v>3797406.6</v>
      </c>
      <c r="N20" s="47">
        <v>170731.34</v>
      </c>
      <c r="O20" s="47">
        <f t="shared" ref="O20:V20" si="6">SUM(O12:O19)</f>
        <v>0</v>
      </c>
      <c r="P20" s="47">
        <f t="shared" si="6"/>
        <v>0</v>
      </c>
      <c r="Q20" s="47">
        <f t="shared" si="6"/>
        <v>103872.34000000001</v>
      </c>
      <c r="R20" s="47">
        <f t="shared" si="6"/>
        <v>0</v>
      </c>
      <c r="S20" s="47">
        <f t="shared" si="6"/>
        <v>0</v>
      </c>
      <c r="T20" s="47">
        <f t="shared" si="6"/>
        <v>378476.02</v>
      </c>
      <c r="U20" s="47">
        <f t="shared" si="6"/>
        <v>3522802.92</v>
      </c>
      <c r="V20" s="47">
        <f t="shared" si="6"/>
        <v>3418930.58</v>
      </c>
      <c r="W20" s="7"/>
      <c r="X20" s="47">
        <f>SUM(X12:X19)</f>
        <v>103872.34000000001</v>
      </c>
      <c r="AA20" s="76">
        <v>343</v>
      </c>
      <c r="AB20" s="76" t="s">
        <v>1990</v>
      </c>
      <c r="AC20" s="77">
        <f t="shared" si="0"/>
        <v>0</v>
      </c>
      <c r="AE20" s="76" t="s">
        <v>2004</v>
      </c>
      <c r="AF20" s="76" t="s">
        <v>1901</v>
      </c>
      <c r="AG20" s="79">
        <v>93050199</v>
      </c>
      <c r="AH20" s="77">
        <f>SUM(AH15:AH18)</f>
        <v>159872.58000000002</v>
      </c>
    </row>
    <row r="21" spans="1:34" ht="15.5" x14ac:dyDescent="0.35">
      <c r="C21" s="20" t="s">
        <v>2016</v>
      </c>
      <c r="E21" s="46"/>
      <c r="F21" s="46"/>
      <c r="G21" s="45"/>
      <c r="H21" s="45"/>
      <c r="I21" s="45"/>
      <c r="J21" s="45"/>
      <c r="K21" s="45"/>
      <c r="L21" s="45"/>
      <c r="M21" s="45"/>
      <c r="N21" s="45"/>
      <c r="O21" s="45"/>
      <c r="P21" s="45"/>
      <c r="Q21" s="45"/>
      <c r="R21" s="45"/>
      <c r="S21" s="45"/>
      <c r="T21" s="45"/>
      <c r="U21" s="45"/>
      <c r="V21" s="45"/>
      <c r="W21" s="2"/>
      <c r="X21" s="2"/>
      <c r="AA21" s="76">
        <v>349</v>
      </c>
      <c r="AB21" s="76" t="s">
        <v>1990</v>
      </c>
      <c r="AC21" s="77">
        <f t="shared" si="0"/>
        <v>0</v>
      </c>
      <c r="AE21" s="76" t="s">
        <v>1977</v>
      </c>
      <c r="AF21" s="76" t="s">
        <v>2017</v>
      </c>
      <c r="AG21" s="79">
        <v>44999999</v>
      </c>
      <c r="AH21" s="77">
        <f>AH20</f>
        <v>159872.58000000002</v>
      </c>
    </row>
    <row r="22" spans="1:34" ht="15.5" x14ac:dyDescent="0.35">
      <c r="A22" s="37" t="s">
        <v>1980</v>
      </c>
      <c r="E22" s="46"/>
      <c r="F22" s="46"/>
      <c r="G22" s="45"/>
      <c r="H22" s="45"/>
      <c r="I22" s="45"/>
      <c r="J22" s="45"/>
      <c r="K22" s="45"/>
      <c r="L22" s="45"/>
      <c r="M22" s="45"/>
      <c r="N22" s="45"/>
      <c r="O22" s="45"/>
      <c r="P22" s="45"/>
      <c r="Q22" s="45"/>
      <c r="R22" s="45"/>
      <c r="S22" s="45"/>
      <c r="T22" s="45"/>
      <c r="U22" s="45"/>
      <c r="V22" s="45"/>
      <c r="W22" s="2"/>
      <c r="X22" s="2"/>
      <c r="AA22" s="76">
        <v>359</v>
      </c>
      <c r="AB22" s="76" t="s">
        <v>1990</v>
      </c>
      <c r="AC22" s="77">
        <f t="shared" si="0"/>
        <v>1658.5</v>
      </c>
    </row>
    <row r="23" spans="1:34" s="48" customFormat="1" ht="15.5" x14ac:dyDescent="0.35">
      <c r="A23" s="48" t="s">
        <v>2018</v>
      </c>
      <c r="C23" s="49">
        <v>33512</v>
      </c>
      <c r="D23" s="49"/>
      <c r="E23" s="50">
        <v>0.2</v>
      </c>
      <c r="F23" s="50" t="s">
        <v>2019</v>
      </c>
      <c r="G23" s="51">
        <v>0</v>
      </c>
      <c r="H23" s="51"/>
      <c r="I23" s="51"/>
      <c r="J23" s="51"/>
      <c r="K23" s="51"/>
      <c r="L23" s="51"/>
      <c r="M23" s="51">
        <f t="shared" ref="M23:M29" si="7">SUM(G23:L23)</f>
        <v>0</v>
      </c>
      <c r="N23" s="7">
        <f>'FAR 0809 Budgeted'!T23</f>
        <v>0</v>
      </c>
      <c r="O23" s="51"/>
      <c r="P23" s="51"/>
      <c r="Q23" s="51"/>
      <c r="R23" s="51"/>
      <c r="S23" s="51"/>
      <c r="T23" s="51">
        <f t="shared" ref="T23:T29" si="8">SUM(N23:S23)</f>
        <v>0</v>
      </c>
      <c r="U23" s="7">
        <f t="shared" ref="U23:U29" si="9">G23-N23</f>
        <v>0</v>
      </c>
      <c r="V23" s="51">
        <f t="shared" ref="V23:V29" si="10">M23-T23</f>
        <v>0</v>
      </c>
      <c r="W23" s="51"/>
      <c r="X23" s="51">
        <f t="shared" ref="X23:X29" si="11">SUM(Q23:R23)</f>
        <v>0</v>
      </c>
      <c r="Y23" s="48">
        <v>399</v>
      </c>
      <c r="AA23" s="76">
        <v>399</v>
      </c>
      <c r="AB23" s="76" t="s">
        <v>1990</v>
      </c>
      <c r="AC23" s="77">
        <f t="shared" si="0"/>
        <v>14851.65</v>
      </c>
      <c r="AF23" s="20"/>
    </row>
    <row r="24" spans="1:34" s="48" customFormat="1" ht="15.5" x14ac:dyDescent="0.35">
      <c r="A24" s="48" t="s">
        <v>2020</v>
      </c>
      <c r="C24" s="49">
        <v>36314</v>
      </c>
      <c r="D24" s="49"/>
      <c r="E24" s="50">
        <v>0.2</v>
      </c>
      <c r="F24" s="50" t="s">
        <v>2019</v>
      </c>
      <c r="G24" s="51">
        <v>0</v>
      </c>
      <c r="H24" s="51"/>
      <c r="I24" s="51"/>
      <c r="J24" s="51"/>
      <c r="K24" s="51"/>
      <c r="L24" s="51"/>
      <c r="M24" s="51">
        <f t="shared" si="7"/>
        <v>0</v>
      </c>
      <c r="N24" s="7">
        <f>'FAR 0809 Budgeted'!T24</f>
        <v>0</v>
      </c>
      <c r="O24" s="51"/>
      <c r="P24" s="51"/>
      <c r="Q24" s="51"/>
      <c r="R24" s="51"/>
      <c r="S24" s="51"/>
      <c r="T24" s="51">
        <f t="shared" si="8"/>
        <v>0</v>
      </c>
      <c r="U24" s="7">
        <f t="shared" si="9"/>
        <v>0</v>
      </c>
      <c r="V24" s="51">
        <f t="shared" si="10"/>
        <v>0</v>
      </c>
      <c r="W24" s="51"/>
      <c r="X24" s="51">
        <f t="shared" si="11"/>
        <v>0</v>
      </c>
      <c r="Y24" s="48">
        <v>399</v>
      </c>
      <c r="AA24" s="76">
        <v>401</v>
      </c>
      <c r="AB24" s="76" t="s">
        <v>2021</v>
      </c>
      <c r="AC24" s="77">
        <f t="shared" si="0"/>
        <v>4416.67</v>
      </c>
    </row>
    <row r="25" spans="1:34" ht="15.5" x14ac:dyDescent="0.35">
      <c r="A25" s="20" t="s">
        <v>2022</v>
      </c>
      <c r="C25" s="52">
        <v>36713</v>
      </c>
      <c r="D25" s="52"/>
      <c r="E25" s="40">
        <v>0.2</v>
      </c>
      <c r="F25" s="40" t="s">
        <v>2019</v>
      </c>
      <c r="G25" s="7">
        <v>8750</v>
      </c>
      <c r="H25" s="7"/>
      <c r="I25" s="7"/>
      <c r="J25" s="7"/>
      <c r="K25" s="7"/>
      <c r="L25" s="7"/>
      <c r="M25" s="7">
        <f t="shared" si="7"/>
        <v>8750</v>
      </c>
      <c r="N25" s="7">
        <f>'FAR 0809 Budgeted'!T25</f>
        <v>8750</v>
      </c>
      <c r="O25" s="7"/>
      <c r="P25" s="7"/>
      <c r="Q25" s="7"/>
      <c r="R25" s="7"/>
      <c r="S25" s="7"/>
      <c r="T25" s="7">
        <f t="shared" si="8"/>
        <v>8750</v>
      </c>
      <c r="U25" s="7">
        <f t="shared" si="9"/>
        <v>0</v>
      </c>
      <c r="V25" s="7">
        <f t="shared" si="10"/>
        <v>0</v>
      </c>
      <c r="W25" s="2"/>
      <c r="X25" s="2">
        <f t="shared" si="11"/>
        <v>0</v>
      </c>
      <c r="Y25" s="20">
        <v>399</v>
      </c>
      <c r="AA25" s="76">
        <v>499</v>
      </c>
      <c r="AB25" s="76" t="s">
        <v>2021</v>
      </c>
      <c r="AC25" s="77">
        <f t="shared" si="0"/>
        <v>9074.39</v>
      </c>
    </row>
    <row r="26" spans="1:34" ht="15.5" x14ac:dyDescent="0.35">
      <c r="A26" s="20" t="s">
        <v>2023</v>
      </c>
      <c r="C26" s="52">
        <v>37389</v>
      </c>
      <c r="D26" s="52"/>
      <c r="E26" s="40">
        <v>0.2</v>
      </c>
      <c r="F26" s="40" t="s">
        <v>2019</v>
      </c>
      <c r="G26" s="7">
        <v>7650</v>
      </c>
      <c r="H26" s="7"/>
      <c r="I26" s="7"/>
      <c r="J26" s="7"/>
      <c r="K26" s="7"/>
      <c r="L26" s="7"/>
      <c r="M26" s="7">
        <f t="shared" si="7"/>
        <v>7650</v>
      </c>
      <c r="N26" s="7">
        <f>'FAR 0809 Budgeted'!T26</f>
        <v>7650</v>
      </c>
      <c r="O26" s="7"/>
      <c r="P26" s="7"/>
      <c r="Q26" s="7"/>
      <c r="R26" s="7"/>
      <c r="S26" s="7"/>
      <c r="T26" s="7">
        <f t="shared" si="8"/>
        <v>7650</v>
      </c>
      <c r="U26" s="7">
        <f t="shared" si="9"/>
        <v>0</v>
      </c>
      <c r="V26" s="7">
        <f t="shared" si="10"/>
        <v>0</v>
      </c>
      <c r="W26" s="2"/>
      <c r="X26" s="2">
        <f t="shared" si="11"/>
        <v>0</v>
      </c>
      <c r="Y26" s="20">
        <v>399</v>
      </c>
      <c r="AA26" s="76" t="s">
        <v>2024</v>
      </c>
      <c r="AB26" s="76" t="s">
        <v>2021</v>
      </c>
      <c r="AC26" s="77">
        <f t="shared" si="0"/>
        <v>4955</v>
      </c>
    </row>
    <row r="27" spans="1:34" s="53" customFormat="1" ht="15.5" x14ac:dyDescent="0.35">
      <c r="A27" s="53" t="s">
        <v>2025</v>
      </c>
      <c r="C27" s="54">
        <v>39534</v>
      </c>
      <c r="D27" s="54"/>
      <c r="E27" s="55">
        <v>0.2</v>
      </c>
      <c r="F27" s="55" t="s">
        <v>2019</v>
      </c>
      <c r="G27" s="56">
        <v>6495</v>
      </c>
      <c r="H27" s="56"/>
      <c r="I27" s="56"/>
      <c r="J27" s="56"/>
      <c r="K27" s="56"/>
      <c r="L27" s="56"/>
      <c r="M27" s="56">
        <f t="shared" si="7"/>
        <v>6495</v>
      </c>
      <c r="N27" s="7">
        <f>'FAR 0809 Budgeted'!T27</f>
        <v>2598</v>
      </c>
      <c r="O27" s="56"/>
      <c r="P27" s="56"/>
      <c r="Q27" s="56">
        <f>ROUND(M27*E27,2)</f>
        <v>1299</v>
      </c>
      <c r="R27" s="56"/>
      <c r="S27" s="56"/>
      <c r="T27" s="56">
        <f t="shared" si="8"/>
        <v>3897</v>
      </c>
      <c r="U27" s="7">
        <f t="shared" si="9"/>
        <v>3897</v>
      </c>
      <c r="V27" s="56">
        <f t="shared" si="10"/>
        <v>2598</v>
      </c>
      <c r="W27" s="56"/>
      <c r="X27" s="56">
        <f t="shared" si="11"/>
        <v>1299</v>
      </c>
      <c r="Y27" s="53">
        <v>399</v>
      </c>
      <c r="AA27" s="76" t="s">
        <v>2007</v>
      </c>
      <c r="AB27" s="76" t="s">
        <v>1990</v>
      </c>
      <c r="AC27" s="77">
        <f t="shared" si="0"/>
        <v>12596.24</v>
      </c>
    </row>
    <row r="28" spans="1:34" s="53" customFormat="1" ht="15.5" x14ac:dyDescent="0.35">
      <c r="A28" s="53" t="s">
        <v>2026</v>
      </c>
      <c r="C28" s="54">
        <v>39198</v>
      </c>
      <c r="D28" s="54"/>
      <c r="E28" s="55">
        <v>0.2</v>
      </c>
      <c r="F28" s="55" t="s">
        <v>2019</v>
      </c>
      <c r="G28" s="56">
        <v>6698.25</v>
      </c>
      <c r="H28" s="56"/>
      <c r="I28" s="56"/>
      <c r="J28" s="56"/>
      <c r="K28" s="56"/>
      <c r="L28" s="56"/>
      <c r="M28" s="56">
        <f t="shared" si="7"/>
        <v>6698.25</v>
      </c>
      <c r="N28" s="7">
        <f>'FAR 0809 Budgeted'!T28</f>
        <v>2679.3</v>
      </c>
      <c r="O28" s="56"/>
      <c r="P28" s="56"/>
      <c r="Q28" s="56">
        <f>ROUND(M28*E28,2)</f>
        <v>1339.65</v>
      </c>
      <c r="R28" s="56"/>
      <c r="S28" s="56"/>
      <c r="T28" s="56">
        <f t="shared" si="8"/>
        <v>4018.9500000000003</v>
      </c>
      <c r="U28" s="7">
        <f t="shared" si="9"/>
        <v>4018.95</v>
      </c>
      <c r="V28" s="56">
        <f t="shared" si="10"/>
        <v>2679.2999999999997</v>
      </c>
      <c r="W28" s="56"/>
      <c r="X28" s="56">
        <f t="shared" si="11"/>
        <v>1339.65</v>
      </c>
      <c r="Y28" s="53">
        <v>399</v>
      </c>
      <c r="AA28" s="76" t="s">
        <v>2027</v>
      </c>
      <c r="AB28" s="76" t="s">
        <v>1990</v>
      </c>
      <c r="AC28" s="77">
        <f t="shared" si="0"/>
        <v>35802.550000000003</v>
      </c>
    </row>
    <row r="29" spans="1:34" s="53" customFormat="1" ht="15.5" x14ac:dyDescent="0.35">
      <c r="A29" s="53" t="s">
        <v>2028</v>
      </c>
      <c r="D29" s="54"/>
      <c r="E29" s="55">
        <v>0.2</v>
      </c>
      <c r="F29" s="55" t="s">
        <v>2019</v>
      </c>
      <c r="G29" s="56">
        <v>11150</v>
      </c>
      <c r="H29" s="57"/>
      <c r="I29" s="57"/>
      <c r="J29" s="57"/>
      <c r="K29" s="57"/>
      <c r="L29" s="57"/>
      <c r="M29" s="56">
        <f t="shared" si="7"/>
        <v>11150</v>
      </c>
      <c r="N29" s="7">
        <f>'FAR 0809 Budgeted'!T29</f>
        <v>4460</v>
      </c>
      <c r="O29" s="56"/>
      <c r="P29" s="56"/>
      <c r="Q29" s="56">
        <f>ROUND(M29*E29,2)</f>
        <v>2230</v>
      </c>
      <c r="R29" s="56"/>
      <c r="S29" s="57"/>
      <c r="T29" s="56">
        <f t="shared" si="8"/>
        <v>6690</v>
      </c>
      <c r="U29" s="7">
        <f t="shared" si="9"/>
        <v>6690</v>
      </c>
      <c r="V29" s="56">
        <f t="shared" si="10"/>
        <v>4460</v>
      </c>
      <c r="W29" s="56"/>
      <c r="X29" s="56">
        <f t="shared" si="11"/>
        <v>2230</v>
      </c>
      <c r="Y29" s="53">
        <v>399</v>
      </c>
      <c r="AC29" s="77">
        <f>SUM(AC8:AC28)</f>
        <v>159872.58000000002</v>
      </c>
    </row>
    <row r="30" spans="1:34" x14ac:dyDescent="0.25">
      <c r="E30" s="44"/>
      <c r="F30" s="44"/>
      <c r="G30" s="47">
        <v>40743.25</v>
      </c>
      <c r="H30" s="47">
        <f t="shared" ref="H30:M30" si="12">SUM(H23:H29)</f>
        <v>0</v>
      </c>
      <c r="I30" s="47">
        <f t="shared" si="12"/>
        <v>0</v>
      </c>
      <c r="J30" s="47">
        <f t="shared" si="12"/>
        <v>0</v>
      </c>
      <c r="K30" s="47">
        <f t="shared" si="12"/>
        <v>0</v>
      </c>
      <c r="L30" s="47">
        <f t="shared" si="12"/>
        <v>0</v>
      </c>
      <c r="M30" s="47">
        <f t="shared" si="12"/>
        <v>40743.25</v>
      </c>
      <c r="N30" s="47">
        <v>22033.65</v>
      </c>
      <c r="O30" s="47">
        <f t="shared" ref="O30:V30" si="13">SUM(O23:O29)</f>
        <v>0</v>
      </c>
      <c r="P30" s="47">
        <f t="shared" si="13"/>
        <v>0</v>
      </c>
      <c r="Q30" s="47">
        <f t="shared" si="13"/>
        <v>4868.6499999999996</v>
      </c>
      <c r="R30" s="47">
        <f t="shared" si="13"/>
        <v>0</v>
      </c>
      <c r="S30" s="47">
        <f t="shared" si="13"/>
        <v>0</v>
      </c>
      <c r="T30" s="47">
        <f t="shared" si="13"/>
        <v>31005.95</v>
      </c>
      <c r="U30" s="47">
        <f t="shared" si="13"/>
        <v>14605.95</v>
      </c>
      <c r="V30" s="47">
        <f t="shared" si="13"/>
        <v>9737.2999999999993</v>
      </c>
      <c r="W30" s="7"/>
      <c r="X30" s="47">
        <f>SUM(X23:X29)</f>
        <v>4868.6499999999996</v>
      </c>
    </row>
    <row r="31" spans="1:34" x14ac:dyDescent="0.25">
      <c r="E31" s="46"/>
      <c r="F31" s="46"/>
      <c r="G31" s="45"/>
      <c r="H31" s="45"/>
      <c r="I31" s="45"/>
      <c r="J31" s="45"/>
      <c r="K31" s="45"/>
      <c r="L31" s="45"/>
      <c r="M31" s="45"/>
      <c r="N31" s="45"/>
      <c r="O31" s="45"/>
      <c r="P31" s="45"/>
      <c r="Q31" s="45"/>
      <c r="R31" s="45"/>
      <c r="S31" s="45"/>
      <c r="T31" s="45"/>
      <c r="U31" s="45"/>
      <c r="V31" s="45"/>
      <c r="W31" s="2"/>
      <c r="X31" s="2"/>
    </row>
    <row r="32" spans="1:34" ht="13" x14ac:dyDescent="0.3">
      <c r="A32" s="37" t="s">
        <v>1991</v>
      </c>
      <c r="D32" s="46" t="s">
        <v>2029</v>
      </c>
      <c r="E32" s="46"/>
      <c r="F32" s="46"/>
      <c r="G32" s="7"/>
      <c r="H32" s="7"/>
      <c r="I32" s="7"/>
      <c r="J32" s="7"/>
      <c r="K32" s="7"/>
      <c r="L32" s="7"/>
      <c r="M32" s="7"/>
      <c r="N32" s="7"/>
      <c r="O32" s="7"/>
      <c r="P32" s="7"/>
      <c r="Q32" s="7"/>
      <c r="R32" s="7"/>
      <c r="S32" s="7"/>
      <c r="T32" s="7"/>
      <c r="U32" s="7"/>
      <c r="V32" s="7"/>
      <c r="W32" s="2"/>
      <c r="X32" s="2"/>
    </row>
    <row r="33" spans="1:25" ht="14" x14ac:dyDescent="0.3">
      <c r="A33" s="58" t="s">
        <v>2030</v>
      </c>
      <c r="C33" s="59">
        <v>38579</v>
      </c>
      <c r="D33" s="58" t="s">
        <v>1996</v>
      </c>
      <c r="E33" s="46">
        <v>0.2</v>
      </c>
      <c r="F33" s="46" t="s">
        <v>2031</v>
      </c>
      <c r="G33" s="7">
        <v>9156</v>
      </c>
      <c r="H33" s="45"/>
      <c r="I33" s="45"/>
      <c r="J33" s="45"/>
      <c r="K33" s="45"/>
      <c r="L33" s="45"/>
      <c r="M33" s="7">
        <f>SUM(G33:L33)</f>
        <v>9156</v>
      </c>
      <c r="N33" s="7">
        <f>'FAR 0809 Budgeted'!T33</f>
        <v>7324.4</v>
      </c>
      <c r="O33" s="7"/>
      <c r="P33" s="7"/>
      <c r="Q33" s="7">
        <f>ROUND(M33*E33,2)</f>
        <v>1831.2</v>
      </c>
      <c r="R33" s="7"/>
      <c r="S33" s="45"/>
      <c r="T33" s="7">
        <f>SUM(N33:S33)</f>
        <v>9155.6</v>
      </c>
      <c r="U33" s="7">
        <f>G33-N33</f>
        <v>1831.6000000000004</v>
      </c>
      <c r="V33" s="7">
        <f>M33-T33</f>
        <v>0.3999999999996362</v>
      </c>
      <c r="W33" s="7"/>
      <c r="X33" s="7">
        <f>SUM(Q33:R33)</f>
        <v>1831.2</v>
      </c>
      <c r="Y33" s="20">
        <v>499</v>
      </c>
    </row>
    <row r="34" spans="1:25" x14ac:dyDescent="0.25">
      <c r="E34" s="46"/>
      <c r="F34" s="46"/>
      <c r="G34" s="7"/>
      <c r="H34" s="45"/>
      <c r="I34" s="45"/>
      <c r="J34" s="45"/>
      <c r="K34" s="45"/>
      <c r="L34" s="45"/>
      <c r="M34" s="7"/>
      <c r="N34" s="7"/>
      <c r="O34" s="7"/>
      <c r="P34" s="7"/>
      <c r="Q34" s="7"/>
      <c r="R34" s="7"/>
      <c r="S34" s="45"/>
      <c r="T34" s="7"/>
      <c r="U34" s="7">
        <f>G34-N34</f>
        <v>0</v>
      </c>
      <c r="V34" s="7"/>
      <c r="W34" s="2"/>
      <c r="X34" s="2"/>
    </row>
    <row r="35" spans="1:25" x14ac:dyDescent="0.25">
      <c r="E35" s="44"/>
      <c r="F35" s="44"/>
      <c r="G35" s="47">
        <v>9156</v>
      </c>
      <c r="H35" s="47">
        <f>SUM(H33:H34)</f>
        <v>0</v>
      </c>
      <c r="I35" s="47">
        <f>SUM(I33:I34)</f>
        <v>0</v>
      </c>
      <c r="J35" s="47"/>
      <c r="K35" s="47"/>
      <c r="L35" s="47">
        <f>SUM(L33:L34)</f>
        <v>0</v>
      </c>
      <c r="M35" s="47">
        <f>SUM(M33:M34)</f>
        <v>9156</v>
      </c>
      <c r="N35" s="47">
        <v>5493.2</v>
      </c>
      <c r="O35" s="47">
        <f t="shared" ref="O35:V35" si="14">SUM(O33:O34)</f>
        <v>0</v>
      </c>
      <c r="P35" s="47">
        <f t="shared" si="14"/>
        <v>0</v>
      </c>
      <c r="Q35" s="47">
        <f t="shared" si="14"/>
        <v>1831.2</v>
      </c>
      <c r="R35" s="47">
        <f t="shared" si="14"/>
        <v>0</v>
      </c>
      <c r="S35" s="47">
        <f t="shared" si="14"/>
        <v>0</v>
      </c>
      <c r="T35" s="47">
        <f t="shared" si="14"/>
        <v>9155.6</v>
      </c>
      <c r="U35" s="47">
        <f t="shared" si="14"/>
        <v>1831.6000000000004</v>
      </c>
      <c r="V35" s="60">
        <f t="shared" si="14"/>
        <v>0.3999999999996362</v>
      </c>
      <c r="W35" s="2"/>
      <c r="X35" s="47">
        <f>SUM(X33:X34)</f>
        <v>1831.2</v>
      </c>
    </row>
    <row r="36" spans="1:25" x14ac:dyDescent="0.25">
      <c r="E36" s="44"/>
      <c r="F36" s="44"/>
      <c r="G36" s="45"/>
      <c r="H36" s="45"/>
      <c r="I36" s="45"/>
      <c r="J36" s="45"/>
      <c r="K36" s="45"/>
      <c r="L36" s="45"/>
      <c r="M36" s="45"/>
      <c r="N36" s="45"/>
      <c r="O36" s="45"/>
      <c r="P36" s="45"/>
      <c r="Q36" s="45"/>
      <c r="R36" s="45"/>
      <c r="S36" s="45"/>
      <c r="T36" s="45"/>
      <c r="U36" s="45"/>
      <c r="V36" s="45"/>
      <c r="W36" s="2"/>
      <c r="X36" s="2"/>
    </row>
    <row r="37" spans="1:25" ht="13" x14ac:dyDescent="0.3">
      <c r="A37" s="37" t="s">
        <v>1993</v>
      </c>
      <c r="G37" s="7"/>
      <c r="H37" s="7"/>
      <c r="I37" s="7"/>
      <c r="J37" s="7"/>
      <c r="K37" s="7"/>
      <c r="L37" s="7"/>
      <c r="M37" s="7"/>
      <c r="N37" s="7"/>
      <c r="O37" s="7"/>
      <c r="P37" s="7"/>
      <c r="Q37" s="7"/>
      <c r="R37" s="7"/>
      <c r="S37" s="7"/>
      <c r="T37" s="7"/>
      <c r="U37" s="7"/>
      <c r="V37" s="7"/>
      <c r="W37" s="2"/>
      <c r="X37" s="2"/>
    </row>
    <row r="38" spans="1:25" ht="14" x14ac:dyDescent="0.3">
      <c r="A38" s="58" t="s">
        <v>354</v>
      </c>
      <c r="C38" s="52">
        <v>39063</v>
      </c>
      <c r="D38" s="58" t="s">
        <v>2032</v>
      </c>
      <c r="E38" s="46">
        <v>0.25</v>
      </c>
      <c r="F38" s="46" t="s">
        <v>2033</v>
      </c>
      <c r="G38" s="7">
        <v>19820</v>
      </c>
      <c r="H38" s="7"/>
      <c r="I38" s="7"/>
      <c r="J38" s="7"/>
      <c r="K38" s="7"/>
      <c r="L38" s="7"/>
      <c r="M38" s="7">
        <f>SUM(G38:L38)</f>
        <v>19820</v>
      </c>
      <c r="N38" s="7">
        <f>'FAR 0809 Budgeted'!T38</f>
        <v>14865</v>
      </c>
      <c r="O38" s="7"/>
      <c r="P38" s="7"/>
      <c r="Q38" s="7">
        <f>ROUND(M38*E38,2)</f>
        <v>4955</v>
      </c>
      <c r="R38" s="7"/>
      <c r="S38" s="7"/>
      <c r="T38" s="7">
        <f>SUM(N38:S38)</f>
        <v>19820</v>
      </c>
      <c r="U38" s="7">
        <f>G38-N38</f>
        <v>4955</v>
      </c>
      <c r="V38" s="7">
        <f>M38-T38</f>
        <v>0</v>
      </c>
      <c r="W38" s="2"/>
      <c r="X38" s="2">
        <f>SUM(Q38:R38)</f>
        <v>4955</v>
      </c>
      <c r="Y38" s="20" t="s">
        <v>2034</v>
      </c>
    </row>
    <row r="39" spans="1:25" s="53" customFormat="1" ht="14" x14ac:dyDescent="0.3">
      <c r="A39" s="61" t="s">
        <v>2035</v>
      </c>
      <c r="C39" s="54">
        <v>39416</v>
      </c>
      <c r="D39" s="61" t="s">
        <v>2036</v>
      </c>
      <c r="E39" s="62">
        <v>0.2</v>
      </c>
      <c r="F39" s="62" t="s">
        <v>2033</v>
      </c>
      <c r="G39" s="56">
        <v>29878</v>
      </c>
      <c r="H39" s="56"/>
      <c r="I39" s="56"/>
      <c r="J39" s="56"/>
      <c r="K39" s="56"/>
      <c r="L39" s="56"/>
      <c r="M39" s="56">
        <f>SUM(G39:L39)</f>
        <v>29878</v>
      </c>
      <c r="N39" s="7">
        <f>'FAR 0809 Budgeted'!T39</f>
        <v>11951.2</v>
      </c>
      <c r="O39" s="56"/>
      <c r="P39" s="56"/>
      <c r="Q39" s="56">
        <f>ROUND(M39*E39,2)</f>
        <v>5975.6</v>
      </c>
      <c r="R39" s="56"/>
      <c r="S39" s="56"/>
      <c r="T39" s="56">
        <f>SUM(N39:S39)</f>
        <v>17926.800000000003</v>
      </c>
      <c r="U39" s="7">
        <f>G39-N39</f>
        <v>17926.8</v>
      </c>
      <c r="V39" s="56">
        <f>M39-T39</f>
        <v>11951.199999999997</v>
      </c>
      <c r="W39" s="56"/>
      <c r="X39" s="56">
        <f>SUM(Q39:R39)</f>
        <v>5975.6</v>
      </c>
      <c r="Y39" s="53">
        <v>299</v>
      </c>
    </row>
    <row r="40" spans="1:25" s="53" customFormat="1" ht="14" x14ac:dyDescent="0.3">
      <c r="A40" s="61" t="s">
        <v>2037</v>
      </c>
      <c r="C40" s="54">
        <v>39437</v>
      </c>
      <c r="D40" s="61" t="s">
        <v>2038</v>
      </c>
      <c r="E40" s="62">
        <v>0.2</v>
      </c>
      <c r="F40" s="62" t="s">
        <v>2033</v>
      </c>
      <c r="G40" s="56">
        <v>15887</v>
      </c>
      <c r="H40" s="56"/>
      <c r="I40" s="56"/>
      <c r="J40" s="56"/>
      <c r="K40" s="56"/>
      <c r="L40" s="56"/>
      <c r="M40" s="56">
        <f>SUM(G40:L40)</f>
        <v>15887</v>
      </c>
      <c r="N40" s="7">
        <f>'FAR 0809 Budgeted'!T40</f>
        <v>6354.8</v>
      </c>
      <c r="O40" s="56"/>
      <c r="P40" s="56"/>
      <c r="Q40" s="56">
        <f>ROUND(M40*E40,2)</f>
        <v>3177.4</v>
      </c>
      <c r="R40" s="56"/>
      <c r="S40" s="56"/>
      <c r="T40" s="56">
        <f>SUM(N40:S40)</f>
        <v>9532.2000000000007</v>
      </c>
      <c r="U40" s="7">
        <f>G40-N40</f>
        <v>9532.2000000000007</v>
      </c>
      <c r="V40" s="56">
        <f>M40-T40</f>
        <v>6354.7999999999993</v>
      </c>
      <c r="W40" s="56"/>
      <c r="X40" s="56">
        <f>SUM(Q40:R40)</f>
        <v>3177.4</v>
      </c>
      <c r="Y40" s="53">
        <v>326</v>
      </c>
    </row>
    <row r="41" spans="1:25" s="41" customFormat="1" ht="14" x14ac:dyDescent="0.3">
      <c r="A41" s="63" t="s">
        <v>2039</v>
      </c>
      <c r="C41" s="64"/>
      <c r="D41" s="63" t="s">
        <v>2010</v>
      </c>
      <c r="E41" s="65">
        <f>1/20</f>
        <v>0.05</v>
      </c>
      <c r="F41" s="65" t="s">
        <v>2033</v>
      </c>
      <c r="G41" s="43">
        <v>108735.05</v>
      </c>
      <c r="H41" s="43"/>
      <c r="I41" s="43"/>
      <c r="J41" s="43"/>
      <c r="K41" s="43"/>
      <c r="L41" s="43"/>
      <c r="M41" s="43">
        <f>SUM(G41:L41)</f>
        <v>108735.05</v>
      </c>
      <c r="N41" s="7">
        <f>'FAR 0809 Budgeted'!T41</f>
        <v>10873.5</v>
      </c>
      <c r="O41" s="43"/>
      <c r="P41" s="43"/>
      <c r="Q41" s="43">
        <f>ROUND(M41*E41,2)</f>
        <v>5436.75</v>
      </c>
      <c r="R41" s="43"/>
      <c r="S41" s="43"/>
      <c r="T41" s="43">
        <f>SUM(N41:S41)</f>
        <v>16310.25</v>
      </c>
      <c r="U41" s="7">
        <f>G41-N41</f>
        <v>97861.55</v>
      </c>
      <c r="V41" s="43">
        <f>M41-T41</f>
        <v>92424.8</v>
      </c>
      <c r="W41" s="43"/>
      <c r="X41" s="43">
        <f>SUM(Q41:R41)</f>
        <v>5436.75</v>
      </c>
      <c r="Y41" s="41" t="s">
        <v>2010</v>
      </c>
    </row>
    <row r="42" spans="1:25" s="41" customFormat="1" ht="14" x14ac:dyDescent="0.3">
      <c r="A42" s="63" t="s">
        <v>2040</v>
      </c>
      <c r="C42" s="64"/>
      <c r="D42" s="63" t="s">
        <v>2010</v>
      </c>
      <c r="E42" s="65">
        <f>1/20</f>
        <v>0.05</v>
      </c>
      <c r="F42" s="65" t="s">
        <v>2033</v>
      </c>
      <c r="G42" s="43">
        <v>87750.73</v>
      </c>
      <c r="H42" s="43"/>
      <c r="I42" s="43"/>
      <c r="J42" s="43"/>
      <c r="K42" s="43"/>
      <c r="L42" s="43"/>
      <c r="M42" s="43">
        <f>SUM(G42:L42)</f>
        <v>87750.73</v>
      </c>
      <c r="N42" s="7">
        <f>'FAR 0809 Budgeted'!T42</f>
        <v>8775.08</v>
      </c>
      <c r="O42" s="43"/>
      <c r="P42" s="43"/>
      <c r="Q42" s="43">
        <f>ROUND(M42*E42,2)</f>
        <v>4387.54</v>
      </c>
      <c r="R42" s="43"/>
      <c r="S42" s="43"/>
      <c r="T42" s="43">
        <f>SUM(N42:S42)</f>
        <v>13162.619999999999</v>
      </c>
      <c r="U42" s="7">
        <f>G42-N42</f>
        <v>78975.649999999994</v>
      </c>
      <c r="V42" s="43">
        <f>M42-T42</f>
        <v>74588.11</v>
      </c>
      <c r="W42" s="43"/>
      <c r="X42" s="43">
        <f>SUM(Q42:R42)</f>
        <v>4387.54</v>
      </c>
      <c r="Y42" s="41" t="s">
        <v>2010</v>
      </c>
    </row>
    <row r="43" spans="1:25" x14ac:dyDescent="0.25">
      <c r="G43" s="47">
        <v>262070.78</v>
      </c>
      <c r="H43" s="47">
        <f t="shared" ref="H43:M43" si="15">SUM(H38:H42)</f>
        <v>0</v>
      </c>
      <c r="I43" s="47">
        <f t="shared" si="15"/>
        <v>0</v>
      </c>
      <c r="J43" s="47">
        <f t="shared" si="15"/>
        <v>0</v>
      </c>
      <c r="K43" s="47">
        <f t="shared" si="15"/>
        <v>0</v>
      </c>
      <c r="L43" s="47">
        <f t="shared" si="15"/>
        <v>0</v>
      </c>
      <c r="M43" s="47">
        <f t="shared" si="15"/>
        <v>262070.77999999997</v>
      </c>
      <c r="N43" s="47">
        <v>28887.29</v>
      </c>
      <c r="O43" s="47">
        <f t="shared" ref="O43:V43" si="16">SUM(O38:O42)</f>
        <v>0</v>
      </c>
      <c r="P43" s="47">
        <f t="shared" si="16"/>
        <v>0</v>
      </c>
      <c r="Q43" s="47">
        <f t="shared" si="16"/>
        <v>23932.29</v>
      </c>
      <c r="R43" s="47">
        <f t="shared" si="16"/>
        <v>0</v>
      </c>
      <c r="S43" s="47">
        <f t="shared" si="16"/>
        <v>0</v>
      </c>
      <c r="T43" s="47">
        <f t="shared" si="16"/>
        <v>76751.87</v>
      </c>
      <c r="U43" s="47">
        <f t="shared" si="16"/>
        <v>209251.20000000001</v>
      </c>
      <c r="V43" s="60">
        <f t="shared" si="16"/>
        <v>185318.91</v>
      </c>
      <c r="W43" s="2"/>
      <c r="X43" s="47">
        <f>SUM(X38:X42)</f>
        <v>23932.29</v>
      </c>
    </row>
    <row r="44" spans="1:25" x14ac:dyDescent="0.25">
      <c r="E44" s="44"/>
      <c r="F44" s="44"/>
      <c r="G44" s="45"/>
      <c r="H44" s="45"/>
      <c r="I44" s="45"/>
      <c r="J44" s="45"/>
      <c r="K44" s="45"/>
      <c r="L44" s="45"/>
      <c r="M44" s="45"/>
      <c r="N44" s="45"/>
      <c r="O44" s="45"/>
      <c r="P44" s="45"/>
      <c r="Q44" s="45"/>
      <c r="R44" s="45"/>
      <c r="S44" s="45"/>
      <c r="T44" s="45"/>
      <c r="U44" s="45"/>
      <c r="V44" s="45"/>
      <c r="W44" s="2"/>
      <c r="X44" s="2"/>
    </row>
    <row r="45" spans="1:25" ht="13" x14ac:dyDescent="0.3">
      <c r="A45" s="37" t="s">
        <v>1995</v>
      </c>
      <c r="G45" s="7"/>
      <c r="H45" s="7"/>
      <c r="I45" s="7"/>
      <c r="J45" s="7"/>
      <c r="K45" s="7"/>
      <c r="L45" s="7"/>
      <c r="M45" s="7"/>
      <c r="N45" s="7"/>
      <c r="O45" s="7"/>
      <c r="P45" s="7"/>
      <c r="Q45" s="7"/>
      <c r="R45" s="7"/>
      <c r="S45" s="7"/>
      <c r="T45" s="7"/>
      <c r="U45" s="7"/>
      <c r="V45" s="7"/>
      <c r="W45" s="2"/>
      <c r="X45" s="2"/>
    </row>
    <row r="46" spans="1:25" ht="14" x14ac:dyDescent="0.3">
      <c r="A46" s="58" t="s">
        <v>2041</v>
      </c>
      <c r="C46" s="59">
        <v>33254</v>
      </c>
      <c r="E46" s="40">
        <v>0.2</v>
      </c>
      <c r="F46" s="40" t="s">
        <v>2042</v>
      </c>
      <c r="G46" s="7">
        <v>0</v>
      </c>
      <c r="H46" s="7"/>
      <c r="I46" s="7"/>
      <c r="J46" s="7"/>
      <c r="K46" s="7"/>
      <c r="L46" s="7"/>
      <c r="M46" s="7">
        <f t="shared" ref="M46:M52" si="17">SUM(G46:L46)</f>
        <v>0</v>
      </c>
      <c r="N46" s="7">
        <f>'FAR 0809 Budgeted'!T46</f>
        <v>0</v>
      </c>
      <c r="O46" s="7"/>
      <c r="P46" s="7"/>
      <c r="Q46" s="7"/>
      <c r="R46" s="7"/>
      <c r="S46" s="45"/>
      <c r="T46" s="7">
        <f t="shared" ref="T46:T52" si="18">SUM(N46:S46)</f>
        <v>0</v>
      </c>
      <c r="U46" s="7">
        <f t="shared" ref="U46:U52" si="19">G46-N46</f>
        <v>0</v>
      </c>
      <c r="V46" s="7">
        <f t="shared" ref="V46:V52" si="20">M46-T46</f>
        <v>0</v>
      </c>
      <c r="W46" s="2"/>
      <c r="X46" s="2">
        <f t="shared" ref="X46:X53" si="21">SUM(Q46:R46)</f>
        <v>0</v>
      </c>
      <c r="Y46" s="20">
        <v>399</v>
      </c>
    </row>
    <row r="47" spans="1:25" ht="14" x14ac:dyDescent="0.3">
      <c r="A47" s="58" t="s">
        <v>2043</v>
      </c>
      <c r="C47" s="59">
        <v>36395</v>
      </c>
      <c r="E47" s="40">
        <v>0.2</v>
      </c>
      <c r="F47" s="40" t="s">
        <v>2042</v>
      </c>
      <c r="G47" s="7">
        <v>6360.01</v>
      </c>
      <c r="H47" s="7"/>
      <c r="I47" s="7"/>
      <c r="J47" s="7"/>
      <c r="K47" s="7"/>
      <c r="L47" s="7"/>
      <c r="M47" s="7">
        <f t="shared" si="17"/>
        <v>6360.01</v>
      </c>
      <c r="N47" s="7">
        <f>'FAR 0809 Budgeted'!T47</f>
        <v>6360.01</v>
      </c>
      <c r="O47" s="7"/>
      <c r="P47" s="7"/>
      <c r="Q47" s="7"/>
      <c r="R47" s="7"/>
      <c r="S47" s="45"/>
      <c r="T47" s="7">
        <f t="shared" si="18"/>
        <v>6360.01</v>
      </c>
      <c r="U47" s="7">
        <f t="shared" si="19"/>
        <v>0</v>
      </c>
      <c r="V47" s="7">
        <f t="shared" si="20"/>
        <v>0</v>
      </c>
      <c r="W47" s="2"/>
      <c r="X47" s="2">
        <f t="shared" si="21"/>
        <v>0</v>
      </c>
      <c r="Y47" s="20">
        <v>399</v>
      </c>
    </row>
    <row r="48" spans="1:25" ht="14" x14ac:dyDescent="0.3">
      <c r="A48" s="58" t="s">
        <v>2044</v>
      </c>
      <c r="C48" s="59">
        <v>33036</v>
      </c>
      <c r="E48" s="40">
        <v>0.2</v>
      </c>
      <c r="F48" s="40" t="s">
        <v>2042</v>
      </c>
      <c r="G48" s="7">
        <v>9500</v>
      </c>
      <c r="H48" s="7"/>
      <c r="I48" s="7"/>
      <c r="J48" s="7"/>
      <c r="K48" s="7"/>
      <c r="L48" s="7"/>
      <c r="M48" s="7">
        <f t="shared" si="17"/>
        <v>9500</v>
      </c>
      <c r="N48" s="7">
        <f>'FAR 0809 Budgeted'!T48</f>
        <v>9500</v>
      </c>
      <c r="O48" s="7"/>
      <c r="P48" s="7"/>
      <c r="Q48" s="7"/>
      <c r="R48" s="7"/>
      <c r="S48" s="45"/>
      <c r="T48" s="7">
        <f t="shared" si="18"/>
        <v>9500</v>
      </c>
      <c r="U48" s="7">
        <f t="shared" si="19"/>
        <v>0</v>
      </c>
      <c r="V48" s="7">
        <f t="shared" si="20"/>
        <v>0</v>
      </c>
      <c r="W48" s="2"/>
      <c r="X48" s="2">
        <f t="shared" si="21"/>
        <v>0</v>
      </c>
      <c r="Y48" s="20">
        <v>399</v>
      </c>
    </row>
    <row r="49" spans="1:25" ht="14" x14ac:dyDescent="0.3">
      <c r="A49" s="58" t="s">
        <v>2045</v>
      </c>
      <c r="C49" s="59">
        <v>33288</v>
      </c>
      <c r="E49" s="40">
        <v>0.2</v>
      </c>
      <c r="F49" s="40" t="s">
        <v>2042</v>
      </c>
      <c r="G49" s="7">
        <v>8837</v>
      </c>
      <c r="H49" s="7"/>
      <c r="I49" s="7"/>
      <c r="J49" s="7"/>
      <c r="K49" s="7"/>
      <c r="L49" s="7"/>
      <c r="M49" s="7">
        <f t="shared" si="17"/>
        <v>8837</v>
      </c>
      <c r="N49" s="7">
        <f>'FAR 0809 Budgeted'!T49</f>
        <v>8837</v>
      </c>
      <c r="O49" s="7"/>
      <c r="P49" s="7"/>
      <c r="Q49" s="7"/>
      <c r="R49" s="7"/>
      <c r="S49" s="45"/>
      <c r="T49" s="7">
        <f t="shared" si="18"/>
        <v>8837</v>
      </c>
      <c r="U49" s="7">
        <f t="shared" si="19"/>
        <v>0</v>
      </c>
      <c r="V49" s="7">
        <f t="shared" si="20"/>
        <v>0</v>
      </c>
      <c r="W49" s="2"/>
      <c r="X49" s="2">
        <f t="shared" si="21"/>
        <v>0</v>
      </c>
      <c r="Y49" s="20">
        <v>399</v>
      </c>
    </row>
    <row r="50" spans="1:25" ht="14" x14ac:dyDescent="0.3">
      <c r="A50" s="58" t="s">
        <v>2046</v>
      </c>
      <c r="C50" s="59"/>
      <c r="E50" s="40">
        <v>0.2</v>
      </c>
      <c r="F50" s="40" t="s">
        <v>2042</v>
      </c>
      <c r="G50" s="7">
        <v>11100</v>
      </c>
      <c r="H50" s="7"/>
      <c r="I50" s="7"/>
      <c r="J50" s="7"/>
      <c r="K50" s="7"/>
      <c r="L50" s="7"/>
      <c r="M50" s="7">
        <f t="shared" si="17"/>
        <v>11100</v>
      </c>
      <c r="N50" s="7">
        <f>'FAR 0809 Budgeted'!T50</f>
        <v>11100</v>
      </c>
      <c r="O50" s="7"/>
      <c r="P50" s="7"/>
      <c r="Q50" s="7"/>
      <c r="R50" s="7"/>
      <c r="S50" s="45"/>
      <c r="T50" s="7">
        <f t="shared" si="18"/>
        <v>11100</v>
      </c>
      <c r="U50" s="7">
        <f t="shared" si="19"/>
        <v>0</v>
      </c>
      <c r="V50" s="7">
        <f t="shared" si="20"/>
        <v>0</v>
      </c>
      <c r="W50" s="2"/>
      <c r="X50" s="2">
        <f t="shared" si="21"/>
        <v>0</v>
      </c>
      <c r="Y50" s="20">
        <v>399</v>
      </c>
    </row>
    <row r="51" spans="1:25" ht="14" x14ac:dyDescent="0.3">
      <c r="A51" s="58" t="s">
        <v>2047</v>
      </c>
      <c r="C51" s="59">
        <v>39154</v>
      </c>
      <c r="E51" s="40">
        <v>0.2</v>
      </c>
      <c r="F51" s="40" t="s">
        <v>2042</v>
      </c>
      <c r="G51" s="7">
        <v>17500</v>
      </c>
      <c r="H51" s="7"/>
      <c r="I51" s="7"/>
      <c r="J51" s="7"/>
      <c r="K51" s="7"/>
      <c r="L51" s="7"/>
      <c r="M51" s="7">
        <f t="shared" si="17"/>
        <v>17500</v>
      </c>
      <c r="N51" s="7">
        <f>'FAR 0809 Budgeted'!T51</f>
        <v>10500</v>
      </c>
      <c r="O51" s="7"/>
      <c r="P51" s="7"/>
      <c r="Q51" s="7">
        <f>ROUND(M51*E51,2)</f>
        <v>3500</v>
      </c>
      <c r="R51" s="7"/>
      <c r="S51" s="45"/>
      <c r="T51" s="7">
        <f t="shared" si="18"/>
        <v>14000</v>
      </c>
      <c r="U51" s="7">
        <f t="shared" si="19"/>
        <v>7000</v>
      </c>
      <c r="V51" s="7">
        <f t="shared" si="20"/>
        <v>3500</v>
      </c>
      <c r="W51" s="7"/>
      <c r="X51" s="7">
        <f t="shared" si="21"/>
        <v>3500</v>
      </c>
      <c r="Y51" s="20">
        <v>399</v>
      </c>
    </row>
    <row r="52" spans="1:25" s="53" customFormat="1" ht="14" x14ac:dyDescent="0.3">
      <c r="A52" s="61" t="s">
        <v>2048</v>
      </c>
      <c r="C52" s="66">
        <v>39190</v>
      </c>
      <c r="E52" s="55">
        <v>0.2</v>
      </c>
      <c r="F52" s="55" t="s">
        <v>2042</v>
      </c>
      <c r="G52" s="56">
        <v>25415</v>
      </c>
      <c r="H52" s="56"/>
      <c r="I52" s="56"/>
      <c r="J52" s="56"/>
      <c r="K52" s="56"/>
      <c r="L52" s="56"/>
      <c r="M52" s="56">
        <f t="shared" si="17"/>
        <v>25415</v>
      </c>
      <c r="N52" s="7">
        <f>'FAR 0809 Budgeted'!T52</f>
        <v>10166</v>
      </c>
      <c r="O52" s="56"/>
      <c r="P52" s="56"/>
      <c r="Q52" s="56">
        <f>ROUND(M52*E52,2)</f>
        <v>5083</v>
      </c>
      <c r="R52" s="56"/>
      <c r="S52" s="57"/>
      <c r="T52" s="56">
        <f t="shared" si="18"/>
        <v>15249</v>
      </c>
      <c r="U52" s="7">
        <f t="shared" si="19"/>
        <v>15249</v>
      </c>
      <c r="V52" s="56">
        <f t="shared" si="20"/>
        <v>10166</v>
      </c>
      <c r="W52" s="56"/>
      <c r="X52" s="56">
        <f t="shared" si="21"/>
        <v>5083</v>
      </c>
      <c r="Y52" s="53">
        <v>399</v>
      </c>
    </row>
    <row r="53" spans="1:25" x14ac:dyDescent="0.25">
      <c r="G53" s="47">
        <v>78712.009999999995</v>
      </c>
      <c r="H53" s="47">
        <f t="shared" ref="H53:M53" si="22">SUM(H46:H52)</f>
        <v>0</v>
      </c>
      <c r="I53" s="47">
        <f t="shared" si="22"/>
        <v>0</v>
      </c>
      <c r="J53" s="47">
        <f t="shared" si="22"/>
        <v>0</v>
      </c>
      <c r="K53" s="47">
        <f t="shared" si="22"/>
        <v>0</v>
      </c>
      <c r="L53" s="47">
        <f t="shared" si="22"/>
        <v>0</v>
      </c>
      <c r="M53" s="47">
        <f t="shared" si="22"/>
        <v>78712.010000000009</v>
      </c>
      <c r="N53" s="47">
        <v>45660.01</v>
      </c>
      <c r="O53" s="47">
        <f t="shared" ref="O53:V53" si="23">SUM(O46:O52)</f>
        <v>0</v>
      </c>
      <c r="P53" s="47">
        <f t="shared" si="23"/>
        <v>0</v>
      </c>
      <c r="Q53" s="47">
        <f t="shared" si="23"/>
        <v>8583</v>
      </c>
      <c r="R53" s="47">
        <f t="shared" si="23"/>
        <v>0</v>
      </c>
      <c r="S53" s="47">
        <f t="shared" si="23"/>
        <v>0</v>
      </c>
      <c r="T53" s="47">
        <f t="shared" si="23"/>
        <v>65046.01</v>
      </c>
      <c r="U53" s="47">
        <f t="shared" si="23"/>
        <v>22249</v>
      </c>
      <c r="V53" s="47">
        <f t="shared" si="23"/>
        <v>13666</v>
      </c>
      <c r="W53" s="7"/>
      <c r="X53" s="47">
        <f t="shared" si="21"/>
        <v>8583</v>
      </c>
    </row>
    <row r="54" spans="1:25" x14ac:dyDescent="0.25">
      <c r="G54" s="45"/>
      <c r="H54" s="45"/>
      <c r="I54" s="45"/>
      <c r="J54" s="45"/>
      <c r="K54" s="45"/>
      <c r="L54" s="45"/>
      <c r="M54" s="45"/>
      <c r="N54" s="45"/>
      <c r="O54" s="45"/>
      <c r="P54" s="45"/>
      <c r="Q54" s="45"/>
      <c r="R54" s="45"/>
      <c r="S54" s="45"/>
      <c r="T54" s="45"/>
      <c r="U54" s="45"/>
      <c r="V54" s="45"/>
      <c r="W54" s="2"/>
      <c r="X54" s="2"/>
    </row>
    <row r="55" spans="1:25" ht="13" x14ac:dyDescent="0.3">
      <c r="A55" s="37" t="s">
        <v>1998</v>
      </c>
      <c r="G55" s="7"/>
      <c r="H55" s="7"/>
      <c r="I55" s="7"/>
      <c r="J55" s="7"/>
      <c r="K55" s="7"/>
      <c r="L55" s="7"/>
      <c r="M55" s="7"/>
      <c r="N55" s="7"/>
      <c r="O55" s="7"/>
      <c r="P55" s="7"/>
      <c r="Q55" s="7"/>
      <c r="R55" s="7"/>
      <c r="S55" s="7"/>
      <c r="T55" s="7"/>
      <c r="U55" s="7"/>
      <c r="V55" s="7"/>
      <c r="W55" s="2"/>
      <c r="X55" s="2"/>
    </row>
    <row r="56" spans="1:25" ht="14" x14ac:dyDescent="0.3">
      <c r="A56" s="58" t="s">
        <v>2049</v>
      </c>
      <c r="C56" s="59">
        <v>37112</v>
      </c>
      <c r="D56" s="58" t="s">
        <v>2050</v>
      </c>
      <c r="E56" s="40">
        <v>0.1</v>
      </c>
      <c r="F56" s="40" t="s">
        <v>2051</v>
      </c>
      <c r="G56" s="7">
        <v>9800</v>
      </c>
      <c r="H56" s="7"/>
      <c r="I56" s="7"/>
      <c r="J56" s="7"/>
      <c r="K56" s="7"/>
      <c r="L56" s="7"/>
      <c r="M56" s="7">
        <f t="shared" ref="M56:M64" si="24">SUM(G56:L56)</f>
        <v>9800</v>
      </c>
      <c r="N56" s="7">
        <f>'FAR 0809 Budgeted'!T56</f>
        <v>7350</v>
      </c>
      <c r="O56" s="7"/>
      <c r="P56" s="7"/>
      <c r="Q56" s="7">
        <f>ROUND(M56*E56,2)</f>
        <v>980</v>
      </c>
      <c r="R56" s="7"/>
      <c r="S56" s="7"/>
      <c r="T56" s="7">
        <f t="shared" ref="T56:T64" si="25">SUM(N56:S56)</f>
        <v>8330</v>
      </c>
      <c r="U56" s="7">
        <f t="shared" ref="U56:U64" si="26">G56-N56</f>
        <v>2450</v>
      </c>
      <c r="V56" s="7">
        <f t="shared" ref="V56:V64" si="27">M56-T56</f>
        <v>1470</v>
      </c>
      <c r="W56" s="2"/>
      <c r="X56" s="2">
        <f t="shared" ref="X56:X64" si="28">SUM(Q56:R56)</f>
        <v>980</v>
      </c>
      <c r="Y56" s="20">
        <v>330</v>
      </c>
    </row>
    <row r="57" spans="1:25" ht="14" x14ac:dyDescent="0.3">
      <c r="A57" s="58" t="s">
        <v>2052</v>
      </c>
      <c r="C57" s="58"/>
      <c r="D57" s="58" t="s">
        <v>2050</v>
      </c>
      <c r="E57" s="40">
        <v>0.1</v>
      </c>
      <c r="F57" s="40" t="s">
        <v>2051</v>
      </c>
      <c r="G57" s="7">
        <v>6300</v>
      </c>
      <c r="H57" s="7"/>
      <c r="I57" s="7"/>
      <c r="J57" s="7"/>
      <c r="K57" s="7"/>
      <c r="L57" s="7"/>
      <c r="M57" s="7">
        <f t="shared" si="24"/>
        <v>6300</v>
      </c>
      <c r="N57" s="7">
        <f>'FAR 0809 Budgeted'!T57</f>
        <v>6300</v>
      </c>
      <c r="O57" s="7"/>
      <c r="P57" s="7"/>
      <c r="Q57" s="7"/>
      <c r="R57" s="7"/>
      <c r="S57" s="7"/>
      <c r="T57" s="7">
        <f t="shared" si="25"/>
        <v>6300</v>
      </c>
      <c r="U57" s="7">
        <f t="shared" si="26"/>
        <v>0</v>
      </c>
      <c r="V57" s="7">
        <f t="shared" si="27"/>
        <v>0</v>
      </c>
      <c r="W57" s="2"/>
      <c r="X57" s="2">
        <f t="shared" si="28"/>
        <v>0</v>
      </c>
      <c r="Y57" s="20">
        <v>330</v>
      </c>
    </row>
    <row r="58" spans="1:25" ht="14" x14ac:dyDescent="0.3">
      <c r="A58" s="58" t="s">
        <v>2053</v>
      </c>
      <c r="C58" s="58"/>
      <c r="D58" s="58" t="s">
        <v>2050</v>
      </c>
      <c r="E58" s="40">
        <v>0.1</v>
      </c>
      <c r="F58" s="40" t="s">
        <v>2051</v>
      </c>
      <c r="G58" s="7">
        <v>11800</v>
      </c>
      <c r="H58" s="7"/>
      <c r="I58" s="7"/>
      <c r="J58" s="7"/>
      <c r="K58" s="7"/>
      <c r="L58" s="7"/>
      <c r="M58" s="7">
        <f t="shared" si="24"/>
        <v>11800</v>
      </c>
      <c r="N58" s="7">
        <f>'FAR 0809 Budgeted'!T58</f>
        <v>11800</v>
      </c>
      <c r="O58" s="7"/>
      <c r="P58" s="7"/>
      <c r="Q58" s="7"/>
      <c r="R58" s="7"/>
      <c r="S58" s="7"/>
      <c r="T58" s="7">
        <f t="shared" si="25"/>
        <v>11800</v>
      </c>
      <c r="U58" s="7">
        <f t="shared" si="26"/>
        <v>0</v>
      </c>
      <c r="V58" s="7">
        <f t="shared" si="27"/>
        <v>0</v>
      </c>
      <c r="W58" s="2"/>
      <c r="X58" s="2">
        <f t="shared" si="28"/>
        <v>0</v>
      </c>
      <c r="Y58" s="20">
        <v>330</v>
      </c>
    </row>
    <row r="59" spans="1:25" ht="14" x14ac:dyDescent="0.3">
      <c r="A59" s="58" t="s">
        <v>2054</v>
      </c>
      <c r="C59" s="59">
        <v>38909</v>
      </c>
      <c r="D59" s="58" t="s">
        <v>2055</v>
      </c>
      <c r="E59" s="40">
        <v>0.1</v>
      </c>
      <c r="F59" s="40" t="s">
        <v>2051</v>
      </c>
      <c r="G59" s="7">
        <v>6695</v>
      </c>
      <c r="H59" s="7"/>
      <c r="I59" s="7"/>
      <c r="J59" s="7"/>
      <c r="K59" s="7"/>
      <c r="L59" s="7"/>
      <c r="M59" s="7">
        <f t="shared" si="24"/>
        <v>6695</v>
      </c>
      <c r="N59" s="7">
        <f>'FAR 0809 Budgeted'!T59</f>
        <v>2009</v>
      </c>
      <c r="O59" s="7"/>
      <c r="P59" s="7"/>
      <c r="Q59" s="7">
        <f t="shared" ref="Q59:Q64" si="29">ROUND(M59*E59,2)</f>
        <v>669.5</v>
      </c>
      <c r="R59" s="7"/>
      <c r="S59" s="7"/>
      <c r="T59" s="7">
        <f t="shared" si="25"/>
        <v>2678.5</v>
      </c>
      <c r="U59" s="7">
        <f t="shared" si="26"/>
        <v>4686</v>
      </c>
      <c r="V59" s="7">
        <f t="shared" si="27"/>
        <v>4016.5</v>
      </c>
      <c r="W59" s="2"/>
      <c r="X59" s="7">
        <f t="shared" si="28"/>
        <v>669.5</v>
      </c>
      <c r="Y59" s="20">
        <v>337</v>
      </c>
    </row>
    <row r="60" spans="1:25" ht="14" x14ac:dyDescent="0.3">
      <c r="A60" s="58" t="s">
        <v>2056</v>
      </c>
      <c r="C60" s="59"/>
      <c r="D60" s="58" t="s">
        <v>2057</v>
      </c>
      <c r="E60" s="40">
        <v>0.1</v>
      </c>
      <c r="F60" s="40" t="s">
        <v>2051</v>
      </c>
      <c r="G60" s="7">
        <v>16585</v>
      </c>
      <c r="H60" s="7"/>
      <c r="I60" s="7"/>
      <c r="J60" s="7"/>
      <c r="K60" s="7"/>
      <c r="L60" s="7"/>
      <c r="M60" s="7">
        <f t="shared" si="24"/>
        <v>16585</v>
      </c>
      <c r="N60" s="7">
        <f>'FAR 0809 Budgeted'!T60</f>
        <v>5282</v>
      </c>
      <c r="O60" s="7"/>
      <c r="P60" s="7"/>
      <c r="Q60" s="7">
        <f t="shared" si="29"/>
        <v>1658.5</v>
      </c>
      <c r="R60" s="7"/>
      <c r="S60" s="45"/>
      <c r="T60" s="7">
        <f t="shared" si="25"/>
        <v>6940.5</v>
      </c>
      <c r="U60" s="7">
        <f t="shared" si="26"/>
        <v>11303</v>
      </c>
      <c r="V60" s="7">
        <f t="shared" si="27"/>
        <v>9644.5</v>
      </c>
      <c r="W60" s="2"/>
      <c r="X60" s="2">
        <f t="shared" si="28"/>
        <v>1658.5</v>
      </c>
      <c r="Y60" s="20">
        <v>359</v>
      </c>
    </row>
    <row r="61" spans="1:25" ht="14" x14ac:dyDescent="0.3">
      <c r="A61" s="58" t="s">
        <v>2058</v>
      </c>
      <c r="C61" s="59">
        <v>37399</v>
      </c>
      <c r="D61" s="58" t="s">
        <v>2059</v>
      </c>
      <c r="E61" s="40">
        <v>0.1</v>
      </c>
      <c r="F61" s="40" t="s">
        <v>2051</v>
      </c>
      <c r="G61" s="7">
        <v>5628</v>
      </c>
      <c r="H61" s="7"/>
      <c r="I61" s="7"/>
      <c r="J61" s="7"/>
      <c r="K61" s="7"/>
      <c r="L61" s="7"/>
      <c r="M61" s="7">
        <f t="shared" si="24"/>
        <v>5628</v>
      </c>
      <c r="N61" s="7">
        <f>'FAR 0809 Budgeted'!T61</f>
        <v>3658.8</v>
      </c>
      <c r="O61" s="7"/>
      <c r="P61" s="7"/>
      <c r="Q61" s="7">
        <f t="shared" si="29"/>
        <v>562.79999999999995</v>
      </c>
      <c r="R61" s="7"/>
      <c r="S61" s="7"/>
      <c r="T61" s="7">
        <f t="shared" si="25"/>
        <v>4221.6000000000004</v>
      </c>
      <c r="U61" s="7">
        <f t="shared" si="26"/>
        <v>1969.1999999999998</v>
      </c>
      <c r="V61" s="7">
        <f t="shared" si="27"/>
        <v>1406.3999999999996</v>
      </c>
      <c r="W61" s="2"/>
      <c r="X61" s="2">
        <f t="shared" si="28"/>
        <v>562.79999999999995</v>
      </c>
      <c r="Y61" s="20">
        <v>329</v>
      </c>
    </row>
    <row r="62" spans="1:25" ht="14" x14ac:dyDescent="0.3">
      <c r="A62" s="58" t="s">
        <v>2060</v>
      </c>
      <c r="C62" s="59">
        <v>36972</v>
      </c>
      <c r="D62" s="58" t="s">
        <v>2061</v>
      </c>
      <c r="E62" s="40">
        <v>0.1</v>
      </c>
      <c r="F62" s="40" t="s">
        <v>2051</v>
      </c>
      <c r="G62" s="7">
        <v>6096.81</v>
      </c>
      <c r="H62" s="7"/>
      <c r="I62" s="7"/>
      <c r="J62" s="7"/>
      <c r="K62" s="7"/>
      <c r="L62" s="7"/>
      <c r="M62" s="7">
        <f t="shared" si="24"/>
        <v>6096.81</v>
      </c>
      <c r="N62" s="7">
        <f>'FAR 0809 Budgeted'!T62</f>
        <v>5183.2400000000007</v>
      </c>
      <c r="O62" s="7"/>
      <c r="P62" s="7"/>
      <c r="Q62" s="7">
        <f t="shared" si="29"/>
        <v>609.67999999999995</v>
      </c>
      <c r="R62" s="7"/>
      <c r="S62" s="7"/>
      <c r="T62" s="7">
        <f t="shared" si="25"/>
        <v>5792.920000000001</v>
      </c>
      <c r="U62" s="7">
        <f t="shared" si="26"/>
        <v>913.56999999999971</v>
      </c>
      <c r="V62" s="7">
        <f t="shared" si="27"/>
        <v>303.88999999999942</v>
      </c>
      <c r="W62" s="2"/>
      <c r="X62" s="2">
        <f t="shared" si="28"/>
        <v>609.67999999999995</v>
      </c>
      <c r="Y62" s="20">
        <v>331</v>
      </c>
    </row>
    <row r="63" spans="1:25" ht="14" x14ac:dyDescent="0.3">
      <c r="A63" s="58" t="s">
        <v>2062</v>
      </c>
      <c r="C63" s="59">
        <v>36972</v>
      </c>
      <c r="D63" s="58" t="s">
        <v>2061</v>
      </c>
      <c r="E63" s="40">
        <v>0.1</v>
      </c>
      <c r="F63" s="40" t="s">
        <v>2051</v>
      </c>
      <c r="G63" s="7">
        <v>6817.37</v>
      </c>
      <c r="H63" s="7"/>
      <c r="I63" s="7"/>
      <c r="J63" s="7"/>
      <c r="K63" s="7"/>
      <c r="L63" s="7"/>
      <c r="M63" s="7">
        <f t="shared" si="24"/>
        <v>6817.37</v>
      </c>
      <c r="N63" s="7">
        <f>'FAR 0809 Budgeted'!T63</f>
        <v>5795.57</v>
      </c>
      <c r="O63" s="7"/>
      <c r="P63" s="7"/>
      <c r="Q63" s="7">
        <f t="shared" si="29"/>
        <v>681.74</v>
      </c>
      <c r="R63" s="7"/>
      <c r="S63" s="7"/>
      <c r="T63" s="7">
        <f t="shared" si="25"/>
        <v>6477.3099999999995</v>
      </c>
      <c r="U63" s="7">
        <f t="shared" si="26"/>
        <v>1021.8000000000002</v>
      </c>
      <c r="V63" s="7">
        <f t="shared" si="27"/>
        <v>340.0600000000004</v>
      </c>
      <c r="W63" s="2"/>
      <c r="X63" s="2">
        <f t="shared" si="28"/>
        <v>681.74</v>
      </c>
      <c r="Y63" s="20">
        <v>331</v>
      </c>
    </row>
    <row r="64" spans="1:25" s="41" customFormat="1" ht="14" x14ac:dyDescent="0.3">
      <c r="A64" s="63" t="s">
        <v>2063</v>
      </c>
      <c r="C64" s="67"/>
      <c r="D64" s="41" t="s">
        <v>2010</v>
      </c>
      <c r="E64" s="68">
        <v>0.1</v>
      </c>
      <c r="F64" s="68" t="s">
        <v>2051</v>
      </c>
      <c r="G64" s="43">
        <v>15609.37</v>
      </c>
      <c r="H64" s="43"/>
      <c r="I64" s="43"/>
      <c r="J64" s="43"/>
      <c r="K64" s="43"/>
      <c r="L64" s="43"/>
      <c r="M64" s="43">
        <f t="shared" si="24"/>
        <v>15609.37</v>
      </c>
      <c r="N64" s="7">
        <f>'FAR 0809 Budgeted'!T64</f>
        <v>3121.88</v>
      </c>
      <c r="O64" s="43"/>
      <c r="P64" s="43"/>
      <c r="Q64" s="43">
        <f t="shared" si="29"/>
        <v>1560.94</v>
      </c>
      <c r="R64" s="43"/>
      <c r="S64" s="69"/>
      <c r="T64" s="43">
        <f t="shared" si="25"/>
        <v>4682.82</v>
      </c>
      <c r="U64" s="7">
        <f t="shared" si="26"/>
        <v>12487.490000000002</v>
      </c>
      <c r="V64" s="43">
        <f t="shared" si="27"/>
        <v>10926.550000000001</v>
      </c>
      <c r="W64" s="43"/>
      <c r="X64" s="43">
        <f t="shared" si="28"/>
        <v>1560.94</v>
      </c>
      <c r="Y64" s="41" t="s">
        <v>2010</v>
      </c>
    </row>
    <row r="65" spans="1:25" x14ac:dyDescent="0.25">
      <c r="G65" s="47">
        <v>85331.55</v>
      </c>
      <c r="H65" s="47">
        <f t="shared" ref="H65:M65" si="30">SUM(H56:H64)</f>
        <v>0</v>
      </c>
      <c r="I65" s="47">
        <f t="shared" si="30"/>
        <v>0</v>
      </c>
      <c r="J65" s="47">
        <f t="shared" si="30"/>
        <v>0</v>
      </c>
      <c r="K65" s="47">
        <f t="shared" si="30"/>
        <v>0</v>
      </c>
      <c r="L65" s="47">
        <f t="shared" si="30"/>
        <v>0</v>
      </c>
      <c r="M65" s="47">
        <f t="shared" si="30"/>
        <v>85331.549999999988</v>
      </c>
      <c r="N65" s="47">
        <v>43777.33</v>
      </c>
      <c r="O65" s="47">
        <f t="shared" ref="O65:V65" si="31">SUM(O56:O64)</f>
        <v>0</v>
      </c>
      <c r="P65" s="47">
        <f t="shared" si="31"/>
        <v>0</v>
      </c>
      <c r="Q65" s="47">
        <f t="shared" si="31"/>
        <v>6723.16</v>
      </c>
      <c r="R65" s="47">
        <f t="shared" si="31"/>
        <v>0</v>
      </c>
      <c r="S65" s="47">
        <f t="shared" si="31"/>
        <v>0</v>
      </c>
      <c r="T65" s="47">
        <f t="shared" si="31"/>
        <v>57223.649999999994</v>
      </c>
      <c r="U65" s="47">
        <f t="shared" si="31"/>
        <v>34831.06</v>
      </c>
      <c r="V65" s="47">
        <f t="shared" si="31"/>
        <v>28107.9</v>
      </c>
      <c r="W65" s="7"/>
      <c r="X65" s="47">
        <f>SUM(X56:X64)</f>
        <v>6723.16</v>
      </c>
    </row>
    <row r="66" spans="1:25" x14ac:dyDescent="0.25">
      <c r="G66" s="7"/>
      <c r="H66" s="7"/>
      <c r="I66" s="7"/>
      <c r="J66" s="7"/>
      <c r="K66" s="7"/>
      <c r="L66" s="7"/>
      <c r="M66" s="7"/>
      <c r="N66" s="7"/>
      <c r="O66" s="7"/>
      <c r="P66" s="7"/>
      <c r="Q66" s="7"/>
      <c r="R66" s="7"/>
      <c r="S66" s="7"/>
      <c r="T66" s="7"/>
      <c r="U66" s="7"/>
      <c r="V66" s="7"/>
      <c r="W66" s="2"/>
      <c r="X66" s="2"/>
    </row>
    <row r="67" spans="1:25" ht="13" x14ac:dyDescent="0.3">
      <c r="A67" s="37" t="s">
        <v>1999</v>
      </c>
      <c r="G67" s="7"/>
      <c r="H67" s="7"/>
      <c r="I67" s="7"/>
      <c r="J67" s="7"/>
      <c r="K67" s="7"/>
      <c r="L67" s="7"/>
      <c r="M67" s="7"/>
      <c r="N67" s="7"/>
      <c r="O67" s="7"/>
      <c r="P67" s="7"/>
      <c r="Q67" s="7"/>
      <c r="R67" s="7"/>
      <c r="S67" s="7"/>
      <c r="T67" s="7"/>
      <c r="U67" s="7"/>
      <c r="V67" s="7"/>
      <c r="W67" s="2"/>
      <c r="X67" s="2"/>
    </row>
    <row r="68" spans="1:25" ht="14" x14ac:dyDescent="0.3">
      <c r="A68" s="58" t="s">
        <v>1994</v>
      </c>
      <c r="B68" s="58" t="s">
        <v>2064</v>
      </c>
      <c r="C68" s="59">
        <v>27649</v>
      </c>
      <c r="D68" s="58" t="s">
        <v>2065</v>
      </c>
      <c r="E68" s="40"/>
      <c r="F68" s="40" t="s">
        <v>2066</v>
      </c>
      <c r="G68" s="7">
        <v>20200</v>
      </c>
      <c r="H68" s="7"/>
      <c r="I68" s="7"/>
      <c r="J68" s="7"/>
      <c r="K68" s="7"/>
      <c r="L68" s="7"/>
      <c r="M68" s="7">
        <f t="shared" ref="M68:M109" si="32">SUM(G68:L68)</f>
        <v>20200</v>
      </c>
      <c r="N68" s="7">
        <f>'FAR 0809 Budgeted'!T68</f>
        <v>0</v>
      </c>
      <c r="O68" s="7"/>
      <c r="P68" s="7"/>
      <c r="Q68" s="7"/>
      <c r="R68" s="7"/>
      <c r="S68" s="7"/>
      <c r="T68" s="7">
        <f t="shared" ref="T68:T109" si="33">SUM(N68:S68)</f>
        <v>0</v>
      </c>
      <c r="U68" s="7">
        <f t="shared" ref="U68:U109" si="34">G68-N68</f>
        <v>20200</v>
      </c>
      <c r="V68" s="7">
        <f t="shared" ref="V68:V109" si="35">M68-T68</f>
        <v>20200</v>
      </c>
      <c r="W68" s="2"/>
      <c r="X68" s="2">
        <f t="shared" ref="X68:X77" si="36">SUM(Q68:R68)</f>
        <v>0</v>
      </c>
      <c r="Y68" s="20">
        <v>342</v>
      </c>
    </row>
    <row r="69" spans="1:25" ht="14" x14ac:dyDescent="0.3">
      <c r="A69" s="58" t="s">
        <v>2012</v>
      </c>
      <c r="B69" s="58" t="s">
        <v>2067</v>
      </c>
      <c r="C69" s="59">
        <v>32415</v>
      </c>
      <c r="D69" s="58" t="s">
        <v>2068</v>
      </c>
      <c r="E69" s="40">
        <v>1.67E-2</v>
      </c>
      <c r="F69" s="40" t="s">
        <v>2066</v>
      </c>
      <c r="G69" s="7">
        <v>12500</v>
      </c>
      <c r="H69" s="7"/>
      <c r="I69" s="7"/>
      <c r="J69" s="7"/>
      <c r="K69" s="7"/>
      <c r="L69" s="7"/>
      <c r="M69" s="7">
        <f t="shared" si="32"/>
        <v>12500</v>
      </c>
      <c r="N69" s="7">
        <f>'FAR 0809 Budgeted'!T69</f>
        <v>626.5</v>
      </c>
      <c r="O69" s="7"/>
      <c r="P69" s="7"/>
      <c r="Q69" s="7">
        <f>ROUND(M69*E69,2)</f>
        <v>208.75</v>
      </c>
      <c r="R69" s="7"/>
      <c r="S69" s="7"/>
      <c r="T69" s="7">
        <f t="shared" si="33"/>
        <v>835.25</v>
      </c>
      <c r="U69" s="7">
        <f t="shared" si="34"/>
        <v>11873.5</v>
      </c>
      <c r="V69" s="7">
        <f t="shared" si="35"/>
        <v>11664.75</v>
      </c>
      <c r="W69" s="2"/>
      <c r="X69" s="2">
        <f t="shared" si="36"/>
        <v>208.75</v>
      </c>
      <c r="Y69" s="20">
        <v>327</v>
      </c>
    </row>
    <row r="70" spans="1:25" ht="14" x14ac:dyDescent="0.3">
      <c r="A70" s="58" t="s">
        <v>2012</v>
      </c>
      <c r="B70" s="58" t="s">
        <v>2069</v>
      </c>
      <c r="C70" s="59">
        <v>32115</v>
      </c>
      <c r="D70" s="58" t="s">
        <v>2070</v>
      </c>
      <c r="E70" s="40"/>
      <c r="F70" s="40" t="s">
        <v>2066</v>
      </c>
      <c r="G70" s="7">
        <v>65000</v>
      </c>
      <c r="H70" s="7"/>
      <c r="I70" s="7"/>
      <c r="J70" s="7"/>
      <c r="K70" s="7"/>
      <c r="L70" s="7"/>
      <c r="M70" s="7">
        <f t="shared" si="32"/>
        <v>65000</v>
      </c>
      <c r="N70" s="7">
        <f>'FAR 0809 Budgeted'!T70</f>
        <v>0</v>
      </c>
      <c r="O70" s="7"/>
      <c r="P70" s="7"/>
      <c r="Q70" s="7"/>
      <c r="R70" s="7"/>
      <c r="S70" s="7"/>
      <c r="T70" s="7">
        <f t="shared" si="33"/>
        <v>0</v>
      </c>
      <c r="U70" s="7">
        <f t="shared" si="34"/>
        <v>65000</v>
      </c>
      <c r="V70" s="7">
        <f t="shared" si="35"/>
        <v>65000</v>
      </c>
      <c r="W70" s="2"/>
      <c r="X70" s="2">
        <f t="shared" si="36"/>
        <v>0</v>
      </c>
    </row>
    <row r="71" spans="1:25" ht="14" x14ac:dyDescent="0.3">
      <c r="A71" s="58" t="s">
        <v>2012</v>
      </c>
      <c r="B71" s="58" t="s">
        <v>2071</v>
      </c>
      <c r="C71" s="59">
        <v>32115</v>
      </c>
      <c r="D71" s="58" t="s">
        <v>2070</v>
      </c>
      <c r="E71" s="40"/>
      <c r="F71" s="40" t="s">
        <v>2066</v>
      </c>
      <c r="G71" s="7">
        <v>50000</v>
      </c>
      <c r="H71" s="7"/>
      <c r="I71" s="7"/>
      <c r="J71" s="7"/>
      <c r="K71" s="7"/>
      <c r="L71" s="7"/>
      <c r="M71" s="7">
        <f t="shared" si="32"/>
        <v>50000</v>
      </c>
      <c r="N71" s="7">
        <f>'FAR 0809 Budgeted'!T71</f>
        <v>0</v>
      </c>
      <c r="O71" s="7"/>
      <c r="P71" s="7"/>
      <c r="Q71" s="7"/>
      <c r="R71" s="7"/>
      <c r="S71" s="7"/>
      <c r="T71" s="7">
        <f t="shared" si="33"/>
        <v>0</v>
      </c>
      <c r="U71" s="7">
        <f t="shared" si="34"/>
        <v>50000</v>
      </c>
      <c r="V71" s="7">
        <f t="shared" si="35"/>
        <v>50000</v>
      </c>
      <c r="W71" s="2"/>
      <c r="X71" s="2">
        <f t="shared" si="36"/>
        <v>0</v>
      </c>
    </row>
    <row r="72" spans="1:25" ht="14" x14ac:dyDescent="0.3">
      <c r="A72" s="58" t="s">
        <v>2012</v>
      </c>
      <c r="B72" s="58" t="s">
        <v>2072</v>
      </c>
      <c r="C72" s="59">
        <v>32115</v>
      </c>
      <c r="D72" s="58" t="s">
        <v>2070</v>
      </c>
      <c r="E72" s="40"/>
      <c r="F72" s="40" t="s">
        <v>2066</v>
      </c>
      <c r="G72" s="7">
        <v>1000</v>
      </c>
      <c r="H72" s="7"/>
      <c r="I72" s="7"/>
      <c r="J72" s="7"/>
      <c r="K72" s="7"/>
      <c r="L72" s="7"/>
      <c r="M72" s="7">
        <f t="shared" si="32"/>
        <v>1000</v>
      </c>
      <c r="N72" s="7">
        <f>'FAR 0809 Budgeted'!T72</f>
        <v>0</v>
      </c>
      <c r="O72" s="7"/>
      <c r="P72" s="7"/>
      <c r="Q72" s="7"/>
      <c r="R72" s="7"/>
      <c r="S72" s="7"/>
      <c r="T72" s="7">
        <f t="shared" si="33"/>
        <v>0</v>
      </c>
      <c r="U72" s="7">
        <f t="shared" si="34"/>
        <v>1000</v>
      </c>
      <c r="V72" s="7">
        <f t="shared" si="35"/>
        <v>1000</v>
      </c>
      <c r="W72" s="2"/>
      <c r="X72" s="2">
        <f t="shared" si="36"/>
        <v>0</v>
      </c>
    </row>
    <row r="73" spans="1:25" ht="14" x14ac:dyDescent="0.3">
      <c r="A73" s="58" t="s">
        <v>1994</v>
      </c>
      <c r="B73" s="58" t="s">
        <v>2073</v>
      </c>
      <c r="C73" s="59">
        <v>32115</v>
      </c>
      <c r="D73" s="58" t="s">
        <v>2070</v>
      </c>
      <c r="E73" s="40"/>
      <c r="F73" s="40" t="s">
        <v>2066</v>
      </c>
      <c r="G73" s="7">
        <v>50000</v>
      </c>
      <c r="H73" s="7"/>
      <c r="I73" s="7"/>
      <c r="J73" s="7"/>
      <c r="K73" s="7"/>
      <c r="L73" s="7"/>
      <c r="M73" s="7">
        <f t="shared" si="32"/>
        <v>50000</v>
      </c>
      <c r="N73" s="7">
        <f>'FAR 0809 Budgeted'!T73</f>
        <v>0</v>
      </c>
      <c r="O73" s="7"/>
      <c r="P73" s="7"/>
      <c r="Q73" s="7"/>
      <c r="R73" s="7"/>
      <c r="S73" s="7"/>
      <c r="T73" s="7">
        <f t="shared" si="33"/>
        <v>0</v>
      </c>
      <c r="U73" s="7">
        <f t="shared" si="34"/>
        <v>50000</v>
      </c>
      <c r="V73" s="7">
        <f t="shared" si="35"/>
        <v>50000</v>
      </c>
      <c r="W73" s="2"/>
      <c r="X73" s="2">
        <f t="shared" si="36"/>
        <v>0</v>
      </c>
      <c r="Y73" s="20">
        <v>326</v>
      </c>
    </row>
    <row r="74" spans="1:25" ht="14" x14ac:dyDescent="0.3">
      <c r="A74" s="58" t="s">
        <v>2012</v>
      </c>
      <c r="B74" s="58" t="s">
        <v>2074</v>
      </c>
      <c r="C74" s="59">
        <v>32115</v>
      </c>
      <c r="D74" s="58" t="s">
        <v>2070</v>
      </c>
      <c r="E74" s="40">
        <v>0.02</v>
      </c>
      <c r="F74" s="40" t="s">
        <v>2066</v>
      </c>
      <c r="G74" s="7">
        <v>60500</v>
      </c>
      <c r="H74" s="7"/>
      <c r="I74" s="7"/>
      <c r="J74" s="7"/>
      <c r="K74" s="7"/>
      <c r="L74" s="7"/>
      <c r="M74" s="7">
        <f t="shared" si="32"/>
        <v>60500</v>
      </c>
      <c r="N74" s="7">
        <f>'FAR 0809 Budgeted'!T74</f>
        <v>8988.57</v>
      </c>
      <c r="O74" s="7"/>
      <c r="P74" s="7"/>
      <c r="Q74" s="7">
        <f>ROUND(M74*E74,2)</f>
        <v>1210</v>
      </c>
      <c r="R74" s="7"/>
      <c r="S74" s="7"/>
      <c r="T74" s="7">
        <f t="shared" si="33"/>
        <v>10198.57</v>
      </c>
      <c r="U74" s="7">
        <f t="shared" si="34"/>
        <v>51511.43</v>
      </c>
      <c r="V74" s="7">
        <f t="shared" si="35"/>
        <v>50301.43</v>
      </c>
      <c r="W74" s="2"/>
      <c r="X74" s="2">
        <f t="shared" si="36"/>
        <v>1210</v>
      </c>
      <c r="Y74" s="20">
        <v>326</v>
      </c>
    </row>
    <row r="75" spans="1:25" ht="14" x14ac:dyDescent="0.3">
      <c r="A75" s="58" t="s">
        <v>1506</v>
      </c>
      <c r="B75" s="58"/>
      <c r="C75" s="58"/>
      <c r="D75" s="58" t="s">
        <v>44</v>
      </c>
      <c r="E75" s="40"/>
      <c r="F75" s="40" t="s">
        <v>2066</v>
      </c>
      <c r="G75" s="7">
        <v>65000</v>
      </c>
      <c r="H75" s="7"/>
      <c r="I75" s="7"/>
      <c r="J75" s="7"/>
      <c r="K75" s="7"/>
      <c r="L75" s="7"/>
      <c r="M75" s="7">
        <f t="shared" si="32"/>
        <v>65000</v>
      </c>
      <c r="N75" s="7">
        <f>'FAR 0809 Budgeted'!T75</f>
        <v>0</v>
      </c>
      <c r="O75" s="7"/>
      <c r="P75" s="7"/>
      <c r="Q75" s="7"/>
      <c r="R75" s="7"/>
      <c r="S75" s="7"/>
      <c r="T75" s="7">
        <f t="shared" si="33"/>
        <v>0</v>
      </c>
      <c r="U75" s="7">
        <f t="shared" si="34"/>
        <v>65000</v>
      </c>
      <c r="V75" s="7">
        <f t="shared" si="35"/>
        <v>65000</v>
      </c>
      <c r="W75" s="2"/>
      <c r="X75" s="2">
        <f t="shared" si="36"/>
        <v>0</v>
      </c>
      <c r="Y75" s="20">
        <v>299</v>
      </c>
    </row>
    <row r="76" spans="1:25" ht="14" x14ac:dyDescent="0.3">
      <c r="A76" s="58" t="s">
        <v>2012</v>
      </c>
      <c r="B76" s="58" t="s">
        <v>2075</v>
      </c>
      <c r="C76" s="58"/>
      <c r="D76" s="58" t="s">
        <v>2076</v>
      </c>
      <c r="E76" s="40">
        <v>1.67E-2</v>
      </c>
      <c r="F76" s="40" t="s">
        <v>2066</v>
      </c>
      <c r="G76" s="7">
        <v>433724.17</v>
      </c>
      <c r="H76" s="7"/>
      <c r="I76" s="7"/>
      <c r="J76" s="7"/>
      <c r="K76" s="7"/>
      <c r="L76" s="7"/>
      <c r="M76" s="7">
        <f t="shared" si="32"/>
        <v>433724.17</v>
      </c>
      <c r="N76" s="7">
        <f>'FAR 0809 Budgeted'!T76</f>
        <v>60501.03</v>
      </c>
      <c r="O76" s="7"/>
      <c r="P76" s="7"/>
      <c r="Q76" s="7">
        <f>ROUND(M76*E76,2)</f>
        <v>7243.19</v>
      </c>
      <c r="R76" s="7"/>
      <c r="S76" s="7"/>
      <c r="T76" s="7">
        <f t="shared" si="33"/>
        <v>67744.22</v>
      </c>
      <c r="U76" s="7">
        <f t="shared" si="34"/>
        <v>373223.14</v>
      </c>
      <c r="V76" s="7">
        <f t="shared" si="35"/>
        <v>365979.94999999995</v>
      </c>
      <c r="W76" s="2"/>
      <c r="X76" s="2">
        <f t="shared" si="36"/>
        <v>7243.19</v>
      </c>
      <c r="Y76" s="20">
        <v>499</v>
      </c>
    </row>
    <row r="77" spans="1:25" ht="14" x14ac:dyDescent="0.3">
      <c r="A77" s="58" t="s">
        <v>2077</v>
      </c>
      <c r="B77" s="58"/>
      <c r="C77" s="59">
        <v>37630</v>
      </c>
      <c r="D77" s="58" t="s">
        <v>2078</v>
      </c>
      <c r="E77" s="40">
        <v>0.1</v>
      </c>
      <c r="F77" s="40" t="s">
        <v>2066</v>
      </c>
      <c r="G77" s="7">
        <v>14000</v>
      </c>
      <c r="H77" s="7"/>
      <c r="I77" s="7"/>
      <c r="J77" s="7"/>
      <c r="K77" s="7"/>
      <c r="L77" s="7"/>
      <c r="M77" s="7">
        <f t="shared" si="32"/>
        <v>14000</v>
      </c>
      <c r="N77" s="7">
        <f>'FAR 0809 Budgeted'!T77</f>
        <v>9100</v>
      </c>
      <c r="O77" s="7"/>
      <c r="P77" s="7"/>
      <c r="Q77" s="7">
        <f>ROUND(M77*E77,2)</f>
        <v>1400</v>
      </c>
      <c r="R77" s="7"/>
      <c r="S77" s="7"/>
      <c r="T77" s="7">
        <f t="shared" si="33"/>
        <v>10500</v>
      </c>
      <c r="U77" s="7">
        <f t="shared" si="34"/>
        <v>4900</v>
      </c>
      <c r="V77" s="7">
        <f t="shared" si="35"/>
        <v>3500</v>
      </c>
      <c r="W77" s="2"/>
      <c r="X77" s="2">
        <f t="shared" si="36"/>
        <v>1400</v>
      </c>
      <c r="Y77" s="20">
        <v>399</v>
      </c>
    </row>
    <row r="78" spans="1:25" ht="14" x14ac:dyDescent="0.3">
      <c r="A78" s="58" t="s">
        <v>1994</v>
      </c>
      <c r="B78" s="58" t="s">
        <v>2079</v>
      </c>
      <c r="C78" s="59">
        <v>31758</v>
      </c>
      <c r="D78" s="58" t="s">
        <v>2080</v>
      </c>
      <c r="E78" s="40"/>
      <c r="F78" s="40" t="s">
        <v>2066</v>
      </c>
      <c r="G78" s="7">
        <v>1</v>
      </c>
      <c r="H78" s="7"/>
      <c r="I78" s="7"/>
      <c r="J78" s="7"/>
      <c r="K78" s="7"/>
      <c r="L78" s="7"/>
      <c r="M78" s="7">
        <f t="shared" si="32"/>
        <v>1</v>
      </c>
      <c r="N78" s="7">
        <f>'FAR 0809 Budgeted'!T78</f>
        <v>0</v>
      </c>
      <c r="O78" s="7"/>
      <c r="P78" s="7"/>
      <c r="Q78" s="7"/>
      <c r="R78" s="7"/>
      <c r="S78" s="7"/>
      <c r="T78" s="7">
        <f t="shared" si="33"/>
        <v>0</v>
      </c>
      <c r="U78" s="7">
        <f t="shared" si="34"/>
        <v>1</v>
      </c>
      <c r="V78" s="7">
        <f t="shared" si="35"/>
        <v>1</v>
      </c>
      <c r="W78" s="2"/>
      <c r="X78" s="2"/>
    </row>
    <row r="79" spans="1:25" ht="14" x14ac:dyDescent="0.3">
      <c r="A79" s="58" t="s">
        <v>1994</v>
      </c>
      <c r="B79" s="58" t="s">
        <v>1959</v>
      </c>
      <c r="C79" s="58"/>
      <c r="D79" s="58" t="s">
        <v>2081</v>
      </c>
      <c r="E79" s="40"/>
      <c r="F79" s="40" t="s">
        <v>2066</v>
      </c>
      <c r="G79" s="7">
        <v>0</v>
      </c>
      <c r="H79" s="7"/>
      <c r="I79" s="7"/>
      <c r="J79" s="7"/>
      <c r="K79" s="7"/>
      <c r="L79" s="7"/>
      <c r="M79" s="7">
        <f t="shared" si="32"/>
        <v>0</v>
      </c>
      <c r="N79" s="7">
        <f>'FAR 0809 Budgeted'!T79</f>
        <v>0</v>
      </c>
      <c r="O79" s="7"/>
      <c r="P79" s="7"/>
      <c r="Q79" s="7"/>
      <c r="R79" s="7"/>
      <c r="S79" s="7"/>
      <c r="T79" s="7">
        <f t="shared" si="33"/>
        <v>0</v>
      </c>
      <c r="U79" s="7">
        <f t="shared" si="34"/>
        <v>0</v>
      </c>
      <c r="V79" s="7">
        <f t="shared" si="35"/>
        <v>0</v>
      </c>
      <c r="W79" s="2"/>
      <c r="X79" s="2"/>
    </row>
    <row r="80" spans="1:25" ht="14" x14ac:dyDescent="0.3">
      <c r="A80" s="58" t="s">
        <v>1994</v>
      </c>
      <c r="B80" s="58" t="s">
        <v>1959</v>
      </c>
      <c r="C80" s="58"/>
      <c r="D80" s="58" t="s">
        <v>2082</v>
      </c>
      <c r="E80" s="40"/>
      <c r="F80" s="40" t="s">
        <v>2066</v>
      </c>
      <c r="G80" s="7">
        <v>1</v>
      </c>
      <c r="H80" s="7"/>
      <c r="I80" s="7"/>
      <c r="J80" s="7"/>
      <c r="K80" s="7"/>
      <c r="L80" s="7"/>
      <c r="M80" s="7">
        <f t="shared" si="32"/>
        <v>1</v>
      </c>
      <c r="N80" s="7">
        <f>'FAR 0809 Budgeted'!T80</f>
        <v>0</v>
      </c>
      <c r="O80" s="7"/>
      <c r="P80" s="7"/>
      <c r="Q80" s="7"/>
      <c r="R80" s="7"/>
      <c r="S80" s="7"/>
      <c r="T80" s="7">
        <f t="shared" si="33"/>
        <v>0</v>
      </c>
      <c r="U80" s="7">
        <f t="shared" si="34"/>
        <v>1</v>
      </c>
      <c r="V80" s="7">
        <f t="shared" si="35"/>
        <v>1</v>
      </c>
      <c r="W80" s="2"/>
      <c r="X80" s="2"/>
    </row>
    <row r="81" spans="1:24" ht="14" x14ac:dyDescent="0.3">
      <c r="A81" s="58" t="s">
        <v>1994</v>
      </c>
      <c r="B81" s="58" t="s">
        <v>1959</v>
      </c>
      <c r="C81" s="58"/>
      <c r="D81" s="58" t="s">
        <v>2083</v>
      </c>
      <c r="E81" s="40"/>
      <c r="F81" s="40" t="s">
        <v>2066</v>
      </c>
      <c r="G81" s="7">
        <v>0</v>
      </c>
      <c r="H81" s="7"/>
      <c r="I81" s="7"/>
      <c r="J81" s="7"/>
      <c r="K81" s="7"/>
      <c r="L81" s="7"/>
      <c r="M81" s="7">
        <f t="shared" si="32"/>
        <v>0</v>
      </c>
      <c r="N81" s="7">
        <f>'FAR 0809 Budgeted'!T81</f>
        <v>0</v>
      </c>
      <c r="O81" s="7"/>
      <c r="P81" s="7"/>
      <c r="Q81" s="7"/>
      <c r="R81" s="7"/>
      <c r="S81" s="7"/>
      <c r="T81" s="7">
        <f t="shared" si="33"/>
        <v>0</v>
      </c>
      <c r="U81" s="7">
        <f t="shared" si="34"/>
        <v>0</v>
      </c>
      <c r="V81" s="7">
        <f t="shared" si="35"/>
        <v>0</v>
      </c>
      <c r="W81" s="2"/>
      <c r="X81" s="2"/>
    </row>
    <row r="82" spans="1:24" ht="14" x14ac:dyDescent="0.3">
      <c r="A82" s="58" t="s">
        <v>1994</v>
      </c>
      <c r="B82" s="58" t="s">
        <v>2084</v>
      </c>
      <c r="C82" s="58">
        <v>1896</v>
      </c>
      <c r="D82" s="58" t="s">
        <v>2085</v>
      </c>
      <c r="E82" s="40"/>
      <c r="F82" s="40" t="s">
        <v>2066</v>
      </c>
      <c r="G82" s="7">
        <v>3800</v>
      </c>
      <c r="H82" s="7"/>
      <c r="I82" s="7"/>
      <c r="J82" s="7"/>
      <c r="K82" s="7"/>
      <c r="L82" s="7"/>
      <c r="M82" s="7">
        <f t="shared" si="32"/>
        <v>3800</v>
      </c>
      <c r="N82" s="7">
        <f>'FAR 0809 Budgeted'!T82</f>
        <v>0</v>
      </c>
      <c r="O82" s="7"/>
      <c r="P82" s="7"/>
      <c r="Q82" s="7"/>
      <c r="R82" s="7"/>
      <c r="S82" s="7"/>
      <c r="T82" s="7">
        <f t="shared" si="33"/>
        <v>0</v>
      </c>
      <c r="U82" s="7">
        <f t="shared" si="34"/>
        <v>3800</v>
      </c>
      <c r="V82" s="7">
        <f t="shared" si="35"/>
        <v>3800</v>
      </c>
      <c r="W82" s="2"/>
      <c r="X82" s="2"/>
    </row>
    <row r="83" spans="1:24" ht="14" x14ac:dyDescent="0.3">
      <c r="A83" s="58" t="s">
        <v>1994</v>
      </c>
      <c r="B83" s="58" t="s">
        <v>2086</v>
      </c>
      <c r="C83" s="58">
        <v>1896</v>
      </c>
      <c r="D83" s="58" t="s">
        <v>2085</v>
      </c>
      <c r="E83" s="40"/>
      <c r="F83" s="40" t="s">
        <v>2066</v>
      </c>
      <c r="G83" s="7">
        <v>0</v>
      </c>
      <c r="H83" s="7"/>
      <c r="I83" s="7"/>
      <c r="J83" s="7"/>
      <c r="K83" s="7"/>
      <c r="L83" s="7"/>
      <c r="M83" s="7">
        <f t="shared" si="32"/>
        <v>0</v>
      </c>
      <c r="N83" s="7">
        <f>'FAR 0809 Budgeted'!T83</f>
        <v>0</v>
      </c>
      <c r="O83" s="7"/>
      <c r="P83" s="7"/>
      <c r="Q83" s="7"/>
      <c r="R83" s="7"/>
      <c r="S83" s="7"/>
      <c r="T83" s="7">
        <f t="shared" si="33"/>
        <v>0</v>
      </c>
      <c r="U83" s="7">
        <f t="shared" si="34"/>
        <v>0</v>
      </c>
      <c r="V83" s="7">
        <f t="shared" si="35"/>
        <v>0</v>
      </c>
      <c r="W83" s="2"/>
      <c r="X83" s="2"/>
    </row>
    <row r="84" spans="1:24" ht="14" x14ac:dyDescent="0.3">
      <c r="A84" s="58" t="s">
        <v>1994</v>
      </c>
      <c r="B84" s="58" t="s">
        <v>2087</v>
      </c>
      <c r="C84" s="58">
        <v>1896</v>
      </c>
      <c r="D84" s="58" t="s">
        <v>2085</v>
      </c>
      <c r="E84" s="40"/>
      <c r="F84" s="40" t="s">
        <v>2066</v>
      </c>
      <c r="G84" s="7">
        <v>0</v>
      </c>
      <c r="H84" s="7"/>
      <c r="I84" s="7"/>
      <c r="J84" s="7"/>
      <c r="K84" s="7"/>
      <c r="L84" s="7"/>
      <c r="M84" s="7">
        <f t="shared" si="32"/>
        <v>0</v>
      </c>
      <c r="N84" s="7">
        <f>'FAR 0809 Budgeted'!T84</f>
        <v>0</v>
      </c>
      <c r="O84" s="7"/>
      <c r="P84" s="7"/>
      <c r="Q84" s="7"/>
      <c r="R84" s="7"/>
      <c r="S84" s="7"/>
      <c r="T84" s="7">
        <f t="shared" si="33"/>
        <v>0</v>
      </c>
      <c r="U84" s="7">
        <f t="shared" si="34"/>
        <v>0</v>
      </c>
      <c r="V84" s="7">
        <f t="shared" si="35"/>
        <v>0</v>
      </c>
      <c r="W84" s="2"/>
      <c r="X84" s="2"/>
    </row>
    <row r="85" spans="1:24" ht="14" x14ac:dyDescent="0.3">
      <c r="A85" s="58" t="s">
        <v>1994</v>
      </c>
      <c r="B85" s="58" t="s">
        <v>2088</v>
      </c>
      <c r="C85" s="58">
        <v>1896</v>
      </c>
      <c r="D85" s="58" t="s">
        <v>2085</v>
      </c>
      <c r="E85" s="40"/>
      <c r="F85" s="40" t="s">
        <v>2066</v>
      </c>
      <c r="G85" s="7">
        <v>0</v>
      </c>
      <c r="H85" s="7"/>
      <c r="I85" s="7"/>
      <c r="J85" s="7"/>
      <c r="K85" s="7"/>
      <c r="L85" s="7"/>
      <c r="M85" s="7">
        <f t="shared" si="32"/>
        <v>0</v>
      </c>
      <c r="N85" s="7">
        <f>'FAR 0809 Budgeted'!T85</f>
        <v>0</v>
      </c>
      <c r="O85" s="7"/>
      <c r="P85" s="7"/>
      <c r="Q85" s="7"/>
      <c r="R85" s="7"/>
      <c r="S85" s="7"/>
      <c r="T85" s="7">
        <f t="shared" si="33"/>
        <v>0</v>
      </c>
      <c r="U85" s="7">
        <f t="shared" si="34"/>
        <v>0</v>
      </c>
      <c r="V85" s="7">
        <f t="shared" si="35"/>
        <v>0</v>
      </c>
      <c r="W85" s="2"/>
      <c r="X85" s="2"/>
    </row>
    <row r="86" spans="1:24" ht="14" x14ac:dyDescent="0.3">
      <c r="A86" s="58" t="s">
        <v>1994</v>
      </c>
      <c r="B86" s="58" t="s">
        <v>2089</v>
      </c>
      <c r="C86" s="58"/>
      <c r="D86" s="58" t="s">
        <v>2085</v>
      </c>
      <c r="E86" s="40"/>
      <c r="F86" s="40" t="s">
        <v>2066</v>
      </c>
      <c r="G86" s="7">
        <v>1</v>
      </c>
      <c r="H86" s="7"/>
      <c r="I86" s="7"/>
      <c r="J86" s="7"/>
      <c r="K86" s="7"/>
      <c r="L86" s="7"/>
      <c r="M86" s="7">
        <f t="shared" si="32"/>
        <v>1</v>
      </c>
      <c r="N86" s="7">
        <f>'FAR 0809 Budgeted'!T86</f>
        <v>1</v>
      </c>
      <c r="O86" s="7"/>
      <c r="P86" s="7"/>
      <c r="Q86" s="7"/>
      <c r="R86" s="7"/>
      <c r="S86" s="7"/>
      <c r="T86" s="7">
        <f t="shared" si="33"/>
        <v>1</v>
      </c>
      <c r="U86" s="7">
        <f t="shared" si="34"/>
        <v>0</v>
      </c>
      <c r="V86" s="7">
        <f t="shared" si="35"/>
        <v>0</v>
      </c>
      <c r="W86" s="2"/>
      <c r="X86" s="2"/>
    </row>
    <row r="87" spans="1:24" ht="14" x14ac:dyDescent="0.3">
      <c r="A87" s="58" t="s">
        <v>2012</v>
      </c>
      <c r="B87" s="58" t="s">
        <v>1959</v>
      </c>
      <c r="C87" s="59">
        <v>31861</v>
      </c>
      <c r="D87" s="58" t="s">
        <v>2090</v>
      </c>
      <c r="E87" s="40"/>
      <c r="F87" s="40" t="s">
        <v>2066</v>
      </c>
      <c r="G87" s="7">
        <v>0</v>
      </c>
      <c r="H87" s="7"/>
      <c r="I87" s="7"/>
      <c r="J87" s="7"/>
      <c r="K87" s="7"/>
      <c r="L87" s="7"/>
      <c r="M87" s="7">
        <f t="shared" si="32"/>
        <v>0</v>
      </c>
      <c r="N87" s="7">
        <f>'FAR 0809 Budgeted'!T87</f>
        <v>0</v>
      </c>
      <c r="O87" s="7"/>
      <c r="P87" s="7"/>
      <c r="Q87" s="7"/>
      <c r="R87" s="7"/>
      <c r="S87" s="7"/>
      <c r="T87" s="7">
        <f t="shared" si="33"/>
        <v>0</v>
      </c>
      <c r="U87" s="7">
        <f t="shared" si="34"/>
        <v>0</v>
      </c>
      <c r="V87" s="7">
        <f t="shared" si="35"/>
        <v>0</v>
      </c>
      <c r="W87" s="2"/>
      <c r="X87" s="2"/>
    </row>
    <row r="88" spans="1:24" ht="14" x14ac:dyDescent="0.3">
      <c r="A88" s="58" t="s">
        <v>2012</v>
      </c>
      <c r="B88" s="58" t="s">
        <v>1959</v>
      </c>
      <c r="C88" s="59">
        <v>31861</v>
      </c>
      <c r="D88" s="58" t="s">
        <v>2091</v>
      </c>
      <c r="E88" s="40"/>
      <c r="F88" s="40" t="s">
        <v>2066</v>
      </c>
      <c r="G88" s="7">
        <v>0</v>
      </c>
      <c r="H88" s="7"/>
      <c r="I88" s="7"/>
      <c r="J88" s="7"/>
      <c r="K88" s="7"/>
      <c r="L88" s="7"/>
      <c r="M88" s="7">
        <f t="shared" si="32"/>
        <v>0</v>
      </c>
      <c r="N88" s="7">
        <f>'FAR 0809 Budgeted'!T88</f>
        <v>0</v>
      </c>
      <c r="O88" s="7"/>
      <c r="P88" s="7"/>
      <c r="Q88" s="7"/>
      <c r="R88" s="7"/>
      <c r="S88" s="7"/>
      <c r="T88" s="7">
        <f t="shared" si="33"/>
        <v>0</v>
      </c>
      <c r="U88" s="7">
        <f t="shared" si="34"/>
        <v>0</v>
      </c>
      <c r="V88" s="7">
        <f t="shared" si="35"/>
        <v>0</v>
      </c>
      <c r="W88" s="2"/>
      <c r="X88" s="2"/>
    </row>
    <row r="89" spans="1:24" ht="14" x14ac:dyDescent="0.3">
      <c r="A89" s="58" t="s">
        <v>2012</v>
      </c>
      <c r="B89" s="58" t="s">
        <v>1959</v>
      </c>
      <c r="C89" s="59">
        <v>31861</v>
      </c>
      <c r="D89" s="58" t="s">
        <v>2092</v>
      </c>
      <c r="E89" s="40"/>
      <c r="F89" s="40" t="s">
        <v>2066</v>
      </c>
      <c r="G89" s="7">
        <v>0</v>
      </c>
      <c r="H89" s="7"/>
      <c r="I89" s="7"/>
      <c r="J89" s="7"/>
      <c r="K89" s="7"/>
      <c r="L89" s="7"/>
      <c r="M89" s="7">
        <f t="shared" si="32"/>
        <v>0</v>
      </c>
      <c r="N89" s="7">
        <f>'FAR 0809 Budgeted'!T89</f>
        <v>0</v>
      </c>
      <c r="O89" s="7"/>
      <c r="P89" s="7"/>
      <c r="Q89" s="7"/>
      <c r="R89" s="7"/>
      <c r="S89" s="7"/>
      <c r="T89" s="7">
        <f t="shared" si="33"/>
        <v>0</v>
      </c>
      <c r="U89" s="7">
        <f t="shared" si="34"/>
        <v>0</v>
      </c>
      <c r="V89" s="7">
        <f t="shared" si="35"/>
        <v>0</v>
      </c>
      <c r="W89" s="2"/>
      <c r="X89" s="2"/>
    </row>
    <row r="90" spans="1:24" ht="14" x14ac:dyDescent="0.3">
      <c r="A90" s="58" t="s">
        <v>2012</v>
      </c>
      <c r="B90" s="58" t="s">
        <v>2093</v>
      </c>
      <c r="C90" s="59" t="s">
        <v>2094</v>
      </c>
      <c r="D90" s="58" t="s">
        <v>2095</v>
      </c>
      <c r="E90" s="40"/>
      <c r="F90" s="40" t="s">
        <v>2066</v>
      </c>
      <c r="G90" s="7">
        <v>0</v>
      </c>
      <c r="H90" s="7"/>
      <c r="I90" s="7"/>
      <c r="J90" s="7"/>
      <c r="K90" s="7"/>
      <c r="L90" s="7"/>
      <c r="M90" s="7">
        <f t="shared" si="32"/>
        <v>0</v>
      </c>
      <c r="N90" s="7">
        <f>'FAR 0809 Budgeted'!T90</f>
        <v>0</v>
      </c>
      <c r="O90" s="7"/>
      <c r="P90" s="7"/>
      <c r="Q90" s="7"/>
      <c r="R90" s="7"/>
      <c r="S90" s="7"/>
      <c r="T90" s="7">
        <f t="shared" si="33"/>
        <v>0</v>
      </c>
      <c r="U90" s="7">
        <f t="shared" si="34"/>
        <v>0</v>
      </c>
      <c r="V90" s="7">
        <f t="shared" si="35"/>
        <v>0</v>
      </c>
      <c r="W90" s="2"/>
      <c r="X90" s="2"/>
    </row>
    <row r="91" spans="1:24" ht="14" x14ac:dyDescent="0.3">
      <c r="A91" s="58" t="s">
        <v>1994</v>
      </c>
      <c r="B91" s="58" t="s">
        <v>2096</v>
      </c>
      <c r="C91" s="59">
        <v>30431</v>
      </c>
      <c r="D91" s="58" t="s">
        <v>2097</v>
      </c>
      <c r="E91" s="40"/>
      <c r="F91" s="40" t="s">
        <v>2066</v>
      </c>
      <c r="G91" s="7">
        <v>1</v>
      </c>
      <c r="H91" s="7"/>
      <c r="I91" s="7"/>
      <c r="J91" s="7"/>
      <c r="K91" s="7"/>
      <c r="L91" s="7"/>
      <c r="M91" s="7">
        <f t="shared" si="32"/>
        <v>1</v>
      </c>
      <c r="N91" s="7">
        <f>'FAR 0809 Budgeted'!T91</f>
        <v>0</v>
      </c>
      <c r="O91" s="7"/>
      <c r="P91" s="7"/>
      <c r="Q91" s="7"/>
      <c r="R91" s="7"/>
      <c r="S91" s="7"/>
      <c r="T91" s="7">
        <f t="shared" si="33"/>
        <v>0</v>
      </c>
      <c r="U91" s="7">
        <f t="shared" si="34"/>
        <v>1</v>
      </c>
      <c r="V91" s="7">
        <f t="shared" si="35"/>
        <v>1</v>
      </c>
      <c r="W91" s="2"/>
      <c r="X91" s="2"/>
    </row>
    <row r="92" spans="1:24" ht="14" x14ac:dyDescent="0.3">
      <c r="A92" s="58" t="s">
        <v>2012</v>
      </c>
      <c r="B92" s="58" t="s">
        <v>2098</v>
      </c>
      <c r="C92" s="59">
        <v>29336</v>
      </c>
      <c r="D92" s="58" t="s">
        <v>2059</v>
      </c>
      <c r="E92" s="40"/>
      <c r="F92" s="40" t="s">
        <v>2066</v>
      </c>
      <c r="G92" s="7">
        <v>0</v>
      </c>
      <c r="H92" s="7"/>
      <c r="I92" s="7"/>
      <c r="J92" s="7"/>
      <c r="K92" s="7"/>
      <c r="L92" s="7"/>
      <c r="M92" s="7">
        <f t="shared" si="32"/>
        <v>0</v>
      </c>
      <c r="N92" s="7">
        <f>'FAR 0809 Budgeted'!T92</f>
        <v>0</v>
      </c>
      <c r="O92" s="7"/>
      <c r="P92" s="7"/>
      <c r="Q92" s="7"/>
      <c r="R92" s="7"/>
      <c r="S92" s="7"/>
      <c r="T92" s="7">
        <f t="shared" si="33"/>
        <v>0</v>
      </c>
      <c r="U92" s="7">
        <f t="shared" si="34"/>
        <v>0</v>
      </c>
      <c r="V92" s="7">
        <f t="shared" si="35"/>
        <v>0</v>
      </c>
      <c r="W92" s="2"/>
      <c r="X92" s="2"/>
    </row>
    <row r="93" spans="1:24" ht="14" x14ac:dyDescent="0.3">
      <c r="A93" s="58" t="s">
        <v>2012</v>
      </c>
      <c r="B93" s="58" t="s">
        <v>2099</v>
      </c>
      <c r="C93" s="59">
        <v>31426</v>
      </c>
      <c r="D93" s="58" t="s">
        <v>2100</v>
      </c>
      <c r="E93" s="40"/>
      <c r="F93" s="40" t="s">
        <v>2066</v>
      </c>
      <c r="G93" s="7">
        <v>0</v>
      </c>
      <c r="H93" s="7"/>
      <c r="I93" s="7"/>
      <c r="J93" s="7"/>
      <c r="K93" s="7"/>
      <c r="L93" s="7"/>
      <c r="M93" s="7">
        <f t="shared" si="32"/>
        <v>0</v>
      </c>
      <c r="N93" s="7">
        <f>'FAR 0809 Budgeted'!T93</f>
        <v>0</v>
      </c>
      <c r="O93" s="7"/>
      <c r="P93" s="7"/>
      <c r="Q93" s="7"/>
      <c r="R93" s="7"/>
      <c r="S93" s="7"/>
      <c r="T93" s="7">
        <f t="shared" si="33"/>
        <v>0</v>
      </c>
      <c r="U93" s="7">
        <f t="shared" si="34"/>
        <v>0</v>
      </c>
      <c r="V93" s="7">
        <f t="shared" si="35"/>
        <v>0</v>
      </c>
      <c r="W93" s="2"/>
      <c r="X93" s="2"/>
    </row>
    <row r="94" spans="1:24" ht="14" x14ac:dyDescent="0.3">
      <c r="A94" s="58" t="s">
        <v>1994</v>
      </c>
      <c r="B94" s="58" t="s">
        <v>2096</v>
      </c>
      <c r="C94" s="59">
        <v>25043</v>
      </c>
      <c r="D94" s="58" t="s">
        <v>2101</v>
      </c>
      <c r="E94" s="40"/>
      <c r="F94" s="40" t="s">
        <v>2066</v>
      </c>
      <c r="G94" s="7">
        <v>1</v>
      </c>
      <c r="H94" s="7"/>
      <c r="I94" s="7"/>
      <c r="J94" s="7"/>
      <c r="K94" s="7"/>
      <c r="L94" s="7"/>
      <c r="M94" s="7">
        <f t="shared" si="32"/>
        <v>1</v>
      </c>
      <c r="N94" s="7">
        <f>'FAR 0809 Budgeted'!T94</f>
        <v>0</v>
      </c>
      <c r="O94" s="7"/>
      <c r="P94" s="7"/>
      <c r="Q94" s="7"/>
      <c r="R94" s="7"/>
      <c r="S94" s="7"/>
      <c r="T94" s="7">
        <f t="shared" si="33"/>
        <v>0</v>
      </c>
      <c r="U94" s="7">
        <f t="shared" si="34"/>
        <v>1</v>
      </c>
      <c r="V94" s="7">
        <f t="shared" si="35"/>
        <v>1</v>
      </c>
      <c r="W94" s="2"/>
      <c r="X94" s="2"/>
    </row>
    <row r="95" spans="1:24" ht="14" x14ac:dyDescent="0.3">
      <c r="A95" s="58" t="s">
        <v>2012</v>
      </c>
      <c r="B95" s="58" t="s">
        <v>2102</v>
      </c>
      <c r="C95" s="59">
        <v>33647</v>
      </c>
      <c r="D95" s="58" t="s">
        <v>2091</v>
      </c>
      <c r="E95" s="40"/>
      <c r="F95" s="40" t="s">
        <v>2066</v>
      </c>
      <c r="G95" s="7">
        <v>0</v>
      </c>
      <c r="H95" s="7"/>
      <c r="I95" s="7"/>
      <c r="J95" s="7"/>
      <c r="K95" s="7"/>
      <c r="L95" s="7"/>
      <c r="M95" s="7">
        <f t="shared" si="32"/>
        <v>0</v>
      </c>
      <c r="N95" s="7">
        <f>'FAR 0809 Budgeted'!T95</f>
        <v>0</v>
      </c>
      <c r="O95" s="7"/>
      <c r="P95" s="7"/>
      <c r="Q95" s="7"/>
      <c r="R95" s="7"/>
      <c r="S95" s="7"/>
      <c r="T95" s="7">
        <f t="shared" si="33"/>
        <v>0</v>
      </c>
      <c r="U95" s="7">
        <f t="shared" si="34"/>
        <v>0</v>
      </c>
      <c r="V95" s="7">
        <f t="shared" si="35"/>
        <v>0</v>
      </c>
      <c r="W95" s="2"/>
      <c r="X95" s="2"/>
    </row>
    <row r="96" spans="1:24" ht="14" x14ac:dyDescent="0.3">
      <c r="A96" s="58" t="s">
        <v>1994</v>
      </c>
      <c r="B96" s="58" t="s">
        <v>2103</v>
      </c>
      <c r="C96" s="59">
        <v>23245</v>
      </c>
      <c r="D96" s="58" t="s">
        <v>2104</v>
      </c>
      <c r="E96" s="40"/>
      <c r="F96" s="40" t="s">
        <v>2066</v>
      </c>
      <c r="G96" s="7">
        <v>1</v>
      </c>
      <c r="H96" s="7"/>
      <c r="I96" s="7"/>
      <c r="J96" s="7"/>
      <c r="K96" s="7"/>
      <c r="L96" s="7"/>
      <c r="M96" s="7">
        <f t="shared" si="32"/>
        <v>1</v>
      </c>
      <c r="N96" s="7">
        <f>'FAR 0809 Budgeted'!T96</f>
        <v>0</v>
      </c>
      <c r="O96" s="7"/>
      <c r="P96" s="7"/>
      <c r="Q96" s="7"/>
      <c r="R96" s="7"/>
      <c r="S96" s="7"/>
      <c r="T96" s="7">
        <f t="shared" si="33"/>
        <v>0</v>
      </c>
      <c r="U96" s="7">
        <f t="shared" si="34"/>
        <v>1</v>
      </c>
      <c r="V96" s="7">
        <f t="shared" si="35"/>
        <v>1</v>
      </c>
      <c r="W96" s="2"/>
      <c r="X96" s="2"/>
    </row>
    <row r="97" spans="1:25" ht="14" x14ac:dyDescent="0.3">
      <c r="A97" s="58" t="s">
        <v>1994</v>
      </c>
      <c r="B97" s="58" t="s">
        <v>2105</v>
      </c>
      <c r="C97" s="59">
        <v>27907</v>
      </c>
      <c r="D97" s="58" t="s">
        <v>2106</v>
      </c>
      <c r="E97" s="40"/>
      <c r="F97" s="40" t="s">
        <v>2066</v>
      </c>
      <c r="G97" s="7">
        <v>25</v>
      </c>
      <c r="H97" s="7"/>
      <c r="I97" s="7"/>
      <c r="J97" s="7"/>
      <c r="K97" s="7"/>
      <c r="L97" s="7"/>
      <c r="M97" s="7">
        <f t="shared" si="32"/>
        <v>25</v>
      </c>
      <c r="N97" s="7">
        <f>'FAR 0809 Budgeted'!T97</f>
        <v>0</v>
      </c>
      <c r="O97" s="7"/>
      <c r="P97" s="7"/>
      <c r="Q97" s="7"/>
      <c r="R97" s="7"/>
      <c r="S97" s="7"/>
      <c r="T97" s="7">
        <f t="shared" si="33"/>
        <v>0</v>
      </c>
      <c r="U97" s="7">
        <f t="shared" si="34"/>
        <v>25</v>
      </c>
      <c r="V97" s="7">
        <f t="shared" si="35"/>
        <v>25</v>
      </c>
      <c r="W97" s="2"/>
      <c r="X97" s="2"/>
    </row>
    <row r="98" spans="1:25" ht="14" x14ac:dyDescent="0.3">
      <c r="A98" s="58" t="s">
        <v>2012</v>
      </c>
      <c r="B98" s="58" t="s">
        <v>2107</v>
      </c>
      <c r="C98" s="59">
        <v>33119</v>
      </c>
      <c r="D98" s="58" t="s">
        <v>2108</v>
      </c>
      <c r="E98" s="40"/>
      <c r="F98" s="40" t="s">
        <v>2066</v>
      </c>
      <c r="G98" s="7">
        <v>0</v>
      </c>
      <c r="H98" s="7"/>
      <c r="I98" s="7"/>
      <c r="J98" s="7"/>
      <c r="K98" s="7"/>
      <c r="L98" s="7"/>
      <c r="M98" s="7">
        <f t="shared" si="32"/>
        <v>0</v>
      </c>
      <c r="N98" s="7">
        <f>'FAR 0809 Budgeted'!T98</f>
        <v>0</v>
      </c>
      <c r="O98" s="7"/>
      <c r="P98" s="7"/>
      <c r="Q98" s="7"/>
      <c r="R98" s="7"/>
      <c r="S98" s="7"/>
      <c r="T98" s="7">
        <f t="shared" si="33"/>
        <v>0</v>
      </c>
      <c r="U98" s="7">
        <f t="shared" si="34"/>
        <v>0</v>
      </c>
      <c r="V98" s="7">
        <f t="shared" si="35"/>
        <v>0</v>
      </c>
      <c r="W98" s="2"/>
      <c r="X98" s="2"/>
    </row>
    <row r="99" spans="1:25" ht="14" x14ac:dyDescent="0.3">
      <c r="A99" s="58" t="s">
        <v>1994</v>
      </c>
      <c r="B99" s="58" t="s">
        <v>2098</v>
      </c>
      <c r="C99" s="58" t="s">
        <v>2109</v>
      </c>
      <c r="D99" s="58" t="s">
        <v>2061</v>
      </c>
      <c r="E99" s="40"/>
      <c r="F99" s="40" t="s">
        <v>2066</v>
      </c>
      <c r="G99" s="7">
        <v>1</v>
      </c>
      <c r="H99" s="7"/>
      <c r="I99" s="7"/>
      <c r="J99" s="7"/>
      <c r="K99" s="7"/>
      <c r="L99" s="7"/>
      <c r="M99" s="7">
        <f t="shared" si="32"/>
        <v>1</v>
      </c>
      <c r="N99" s="7">
        <f>'FAR 0809 Budgeted'!T99</f>
        <v>0</v>
      </c>
      <c r="O99" s="7"/>
      <c r="P99" s="7"/>
      <c r="Q99" s="7"/>
      <c r="R99" s="7"/>
      <c r="S99" s="7"/>
      <c r="T99" s="7">
        <f t="shared" si="33"/>
        <v>0</v>
      </c>
      <c r="U99" s="7">
        <f t="shared" si="34"/>
        <v>1</v>
      </c>
      <c r="V99" s="7">
        <f t="shared" si="35"/>
        <v>1</v>
      </c>
      <c r="W99" s="2"/>
      <c r="X99" s="2"/>
    </row>
    <row r="100" spans="1:25" ht="14" x14ac:dyDescent="0.3">
      <c r="A100" s="58" t="s">
        <v>1994</v>
      </c>
      <c r="B100" s="58" t="s">
        <v>2096</v>
      </c>
      <c r="C100" s="59">
        <v>34404</v>
      </c>
      <c r="D100" s="58" t="s">
        <v>2110</v>
      </c>
      <c r="E100" s="40"/>
      <c r="F100" s="40" t="s">
        <v>2066</v>
      </c>
      <c r="G100" s="7">
        <v>1</v>
      </c>
      <c r="H100" s="7"/>
      <c r="I100" s="7"/>
      <c r="J100" s="7"/>
      <c r="K100" s="7"/>
      <c r="L100" s="7"/>
      <c r="M100" s="7">
        <f t="shared" si="32"/>
        <v>1</v>
      </c>
      <c r="N100" s="7">
        <f>'FAR 0809 Budgeted'!T100</f>
        <v>0</v>
      </c>
      <c r="O100" s="7"/>
      <c r="P100" s="7"/>
      <c r="Q100" s="7"/>
      <c r="R100" s="7"/>
      <c r="S100" s="7"/>
      <c r="T100" s="7">
        <f t="shared" si="33"/>
        <v>0</v>
      </c>
      <c r="U100" s="7">
        <f t="shared" si="34"/>
        <v>1</v>
      </c>
      <c r="V100" s="7">
        <f t="shared" si="35"/>
        <v>1</v>
      </c>
      <c r="W100" s="2"/>
      <c r="X100" s="2"/>
    </row>
    <row r="101" spans="1:25" ht="14" x14ac:dyDescent="0.3">
      <c r="A101" s="58" t="s">
        <v>1994</v>
      </c>
      <c r="B101" s="58" t="s">
        <v>2111</v>
      </c>
      <c r="C101" s="59">
        <v>33791</v>
      </c>
      <c r="D101" s="58" t="s">
        <v>2112</v>
      </c>
      <c r="E101" s="40"/>
      <c r="F101" s="40" t="s">
        <v>2066</v>
      </c>
      <c r="G101" s="7">
        <v>2</v>
      </c>
      <c r="H101" s="7"/>
      <c r="I101" s="7"/>
      <c r="J101" s="7"/>
      <c r="K101" s="7"/>
      <c r="L101" s="7"/>
      <c r="M101" s="7">
        <f t="shared" si="32"/>
        <v>2</v>
      </c>
      <c r="N101" s="7">
        <f>'FAR 0809 Budgeted'!T101</f>
        <v>0</v>
      </c>
      <c r="O101" s="7"/>
      <c r="P101" s="7"/>
      <c r="Q101" s="7"/>
      <c r="R101" s="7"/>
      <c r="S101" s="7"/>
      <c r="T101" s="7">
        <f t="shared" si="33"/>
        <v>0</v>
      </c>
      <c r="U101" s="7">
        <f t="shared" si="34"/>
        <v>2</v>
      </c>
      <c r="V101" s="7">
        <f t="shared" si="35"/>
        <v>2</v>
      </c>
      <c r="W101" s="2"/>
      <c r="X101" s="2"/>
    </row>
    <row r="102" spans="1:25" ht="14" x14ac:dyDescent="0.3">
      <c r="A102" s="58" t="s">
        <v>2012</v>
      </c>
      <c r="B102" s="58" t="s">
        <v>2098</v>
      </c>
      <c r="C102" s="59">
        <v>32909</v>
      </c>
      <c r="D102" s="58" t="s">
        <v>2070</v>
      </c>
      <c r="E102" s="40"/>
      <c r="F102" s="40" t="s">
        <v>2066</v>
      </c>
      <c r="G102" s="7">
        <v>0</v>
      </c>
      <c r="H102" s="7"/>
      <c r="I102" s="7"/>
      <c r="J102" s="7"/>
      <c r="K102" s="7"/>
      <c r="L102" s="7"/>
      <c r="M102" s="7">
        <f t="shared" si="32"/>
        <v>0</v>
      </c>
      <c r="N102" s="7">
        <f>'FAR 0809 Budgeted'!T102</f>
        <v>0</v>
      </c>
      <c r="O102" s="7"/>
      <c r="P102" s="7"/>
      <c r="Q102" s="7"/>
      <c r="R102" s="7"/>
      <c r="S102" s="7"/>
      <c r="T102" s="7">
        <f t="shared" si="33"/>
        <v>0</v>
      </c>
      <c r="U102" s="7">
        <f t="shared" si="34"/>
        <v>0</v>
      </c>
      <c r="V102" s="7">
        <f t="shared" si="35"/>
        <v>0</v>
      </c>
      <c r="W102" s="2"/>
      <c r="X102" s="2"/>
    </row>
    <row r="103" spans="1:25" ht="14" x14ac:dyDescent="0.3">
      <c r="A103" s="58" t="s">
        <v>2012</v>
      </c>
      <c r="B103" s="58" t="s">
        <v>2098</v>
      </c>
      <c r="C103" s="59">
        <v>30963</v>
      </c>
      <c r="D103" s="58" t="s">
        <v>2055</v>
      </c>
      <c r="E103" s="40"/>
      <c r="F103" s="40" t="s">
        <v>2066</v>
      </c>
      <c r="G103" s="7">
        <v>0</v>
      </c>
      <c r="H103" s="7"/>
      <c r="I103" s="7"/>
      <c r="J103" s="7"/>
      <c r="K103" s="7"/>
      <c r="L103" s="7"/>
      <c r="M103" s="7">
        <f t="shared" si="32"/>
        <v>0</v>
      </c>
      <c r="N103" s="7">
        <f>'FAR 0809 Budgeted'!T103</f>
        <v>0</v>
      </c>
      <c r="O103" s="7"/>
      <c r="P103" s="7"/>
      <c r="Q103" s="7"/>
      <c r="R103" s="7"/>
      <c r="S103" s="7"/>
      <c r="T103" s="7">
        <f t="shared" si="33"/>
        <v>0</v>
      </c>
      <c r="U103" s="7">
        <f t="shared" si="34"/>
        <v>0</v>
      </c>
      <c r="V103" s="7">
        <f t="shared" si="35"/>
        <v>0</v>
      </c>
      <c r="W103" s="2"/>
      <c r="X103" s="2"/>
    </row>
    <row r="104" spans="1:25" ht="14" x14ac:dyDescent="0.3">
      <c r="A104" s="58" t="s">
        <v>1994</v>
      </c>
      <c r="B104" s="58" t="s">
        <v>2113</v>
      </c>
      <c r="C104" s="59">
        <v>34015</v>
      </c>
      <c r="D104" s="58" t="s">
        <v>2114</v>
      </c>
      <c r="E104" s="40"/>
      <c r="F104" s="40" t="s">
        <v>2066</v>
      </c>
      <c r="G104" s="7">
        <v>1</v>
      </c>
      <c r="H104" s="7"/>
      <c r="I104" s="7"/>
      <c r="J104" s="7"/>
      <c r="K104" s="7"/>
      <c r="L104" s="7"/>
      <c r="M104" s="7">
        <f t="shared" si="32"/>
        <v>1</v>
      </c>
      <c r="N104" s="7">
        <f>'FAR 0809 Budgeted'!T104</f>
        <v>0</v>
      </c>
      <c r="O104" s="7"/>
      <c r="P104" s="7"/>
      <c r="Q104" s="7"/>
      <c r="R104" s="7"/>
      <c r="S104" s="7"/>
      <c r="T104" s="7">
        <f t="shared" si="33"/>
        <v>0</v>
      </c>
      <c r="U104" s="7">
        <f t="shared" si="34"/>
        <v>1</v>
      </c>
      <c r="V104" s="7">
        <f t="shared" si="35"/>
        <v>1</v>
      </c>
      <c r="W104" s="2"/>
      <c r="X104" s="2"/>
    </row>
    <row r="105" spans="1:25" ht="14" x14ac:dyDescent="0.3">
      <c r="A105" s="58" t="s">
        <v>1994</v>
      </c>
      <c r="B105" s="58" t="s">
        <v>2115</v>
      </c>
      <c r="C105" s="58">
        <v>1991</v>
      </c>
      <c r="D105" s="58" t="s">
        <v>2116</v>
      </c>
      <c r="E105" s="40"/>
      <c r="F105" s="40" t="s">
        <v>2066</v>
      </c>
      <c r="G105" s="7">
        <v>1</v>
      </c>
      <c r="H105" s="7"/>
      <c r="I105" s="7"/>
      <c r="J105" s="7"/>
      <c r="K105" s="7"/>
      <c r="L105" s="7"/>
      <c r="M105" s="7">
        <f t="shared" si="32"/>
        <v>1</v>
      </c>
      <c r="N105" s="7">
        <f>'FAR 0809 Budgeted'!T105</f>
        <v>0</v>
      </c>
      <c r="O105" s="7"/>
      <c r="P105" s="7"/>
      <c r="Q105" s="7"/>
      <c r="R105" s="7"/>
      <c r="S105" s="7"/>
      <c r="T105" s="7">
        <f t="shared" si="33"/>
        <v>0</v>
      </c>
      <c r="U105" s="7">
        <f t="shared" si="34"/>
        <v>1</v>
      </c>
      <c r="V105" s="7">
        <f t="shared" si="35"/>
        <v>1</v>
      </c>
      <c r="W105" s="2"/>
      <c r="X105" s="2"/>
    </row>
    <row r="106" spans="1:25" ht="14" x14ac:dyDescent="0.3">
      <c r="A106" s="58" t="s">
        <v>1994</v>
      </c>
      <c r="B106" s="58" t="s">
        <v>2107</v>
      </c>
      <c r="C106" s="58">
        <v>1966</v>
      </c>
      <c r="D106" s="58" t="s">
        <v>2117</v>
      </c>
      <c r="E106" s="40"/>
      <c r="F106" s="40" t="s">
        <v>2066</v>
      </c>
      <c r="G106" s="7">
        <v>2100</v>
      </c>
      <c r="H106" s="7"/>
      <c r="I106" s="7"/>
      <c r="J106" s="7"/>
      <c r="K106" s="7"/>
      <c r="L106" s="7"/>
      <c r="M106" s="7">
        <f t="shared" si="32"/>
        <v>2100</v>
      </c>
      <c r="N106" s="7">
        <f>'FAR 0809 Budgeted'!T106</f>
        <v>0</v>
      </c>
      <c r="O106" s="7"/>
      <c r="P106" s="7"/>
      <c r="Q106" s="7"/>
      <c r="R106" s="7"/>
      <c r="S106" s="7"/>
      <c r="T106" s="7">
        <f t="shared" si="33"/>
        <v>0</v>
      </c>
      <c r="U106" s="7">
        <f t="shared" si="34"/>
        <v>2100</v>
      </c>
      <c r="V106" s="7">
        <f t="shared" si="35"/>
        <v>2100</v>
      </c>
      <c r="W106" s="2"/>
      <c r="X106" s="2"/>
    </row>
    <row r="107" spans="1:25" ht="14" x14ac:dyDescent="0.3">
      <c r="A107" s="58" t="s">
        <v>2118</v>
      </c>
      <c r="B107" s="58"/>
      <c r="C107" s="58"/>
      <c r="D107" s="58" t="s">
        <v>2119</v>
      </c>
      <c r="E107" s="40"/>
      <c r="F107" s="40" t="s">
        <v>2066</v>
      </c>
      <c r="G107" s="7">
        <v>200</v>
      </c>
      <c r="H107" s="7"/>
      <c r="I107" s="7"/>
      <c r="J107" s="7"/>
      <c r="K107" s="7"/>
      <c r="L107" s="7"/>
      <c r="M107" s="7">
        <f t="shared" si="32"/>
        <v>200</v>
      </c>
      <c r="N107" s="7">
        <f>'FAR 0809 Budgeted'!T107</f>
        <v>0</v>
      </c>
      <c r="O107" s="7"/>
      <c r="P107" s="7"/>
      <c r="Q107" s="7"/>
      <c r="R107" s="7"/>
      <c r="S107" s="7"/>
      <c r="T107" s="7">
        <f t="shared" si="33"/>
        <v>0</v>
      </c>
      <c r="U107" s="7">
        <f t="shared" si="34"/>
        <v>200</v>
      </c>
      <c r="V107" s="7">
        <f t="shared" si="35"/>
        <v>200</v>
      </c>
      <c r="W107" s="2"/>
      <c r="X107" s="2"/>
    </row>
    <row r="108" spans="1:25" ht="14" x14ac:dyDescent="0.3">
      <c r="A108" s="58" t="s">
        <v>2120</v>
      </c>
      <c r="B108" s="58"/>
      <c r="C108" s="58"/>
      <c r="D108" s="58" t="s">
        <v>1996</v>
      </c>
      <c r="E108" s="40"/>
      <c r="F108" s="40" t="s">
        <v>2066</v>
      </c>
      <c r="G108" s="7">
        <v>1200</v>
      </c>
      <c r="H108" s="7"/>
      <c r="I108" s="7"/>
      <c r="J108" s="7"/>
      <c r="K108" s="7"/>
      <c r="L108" s="7"/>
      <c r="M108" s="7">
        <f t="shared" si="32"/>
        <v>1200</v>
      </c>
      <c r="N108" s="7">
        <f>'FAR 0809 Budgeted'!T108</f>
        <v>0</v>
      </c>
      <c r="O108" s="7"/>
      <c r="P108" s="7"/>
      <c r="Q108" s="7"/>
      <c r="R108" s="7"/>
      <c r="S108" s="7"/>
      <c r="T108" s="7">
        <f t="shared" si="33"/>
        <v>0</v>
      </c>
      <c r="U108" s="7">
        <f t="shared" si="34"/>
        <v>1200</v>
      </c>
      <c r="V108" s="7">
        <f t="shared" si="35"/>
        <v>1200</v>
      </c>
      <c r="W108" s="2"/>
      <c r="X108" s="2"/>
    </row>
    <row r="109" spans="1:25" s="41" customFormat="1" ht="14" x14ac:dyDescent="0.3">
      <c r="A109" s="63" t="s">
        <v>2121</v>
      </c>
      <c r="B109" s="63"/>
      <c r="C109" s="67"/>
      <c r="D109" s="70"/>
      <c r="E109" s="68"/>
      <c r="F109" s="68" t="s">
        <v>2066</v>
      </c>
      <c r="G109" s="43">
        <v>604600.80000000005</v>
      </c>
      <c r="H109" s="43"/>
      <c r="I109" s="43"/>
      <c r="J109" s="43"/>
      <c r="K109" s="43"/>
      <c r="L109" s="43"/>
      <c r="M109" s="43">
        <f t="shared" si="32"/>
        <v>604600.80000000005</v>
      </c>
      <c r="N109" s="7">
        <f>'FAR 0809 Budgeted'!T109</f>
        <v>0</v>
      </c>
      <c r="O109" s="43"/>
      <c r="P109" s="43"/>
      <c r="Q109" s="43"/>
      <c r="R109" s="43"/>
      <c r="S109" s="43"/>
      <c r="T109" s="43">
        <f t="shared" si="33"/>
        <v>0</v>
      </c>
      <c r="U109" s="7">
        <f t="shared" si="34"/>
        <v>604600.80000000005</v>
      </c>
      <c r="V109" s="43">
        <f t="shared" si="35"/>
        <v>604600.80000000005</v>
      </c>
      <c r="W109" s="43"/>
      <c r="X109" s="43"/>
      <c r="Y109" s="41" t="s">
        <v>2010</v>
      </c>
    </row>
    <row r="110" spans="1:25" x14ac:dyDescent="0.25">
      <c r="G110" s="47">
        <v>1383861.97</v>
      </c>
      <c r="H110" s="47">
        <f t="shared" ref="H110:M110" si="37">SUM(H68:H109)</f>
        <v>0</v>
      </c>
      <c r="I110" s="47">
        <f t="shared" si="37"/>
        <v>0</v>
      </c>
      <c r="J110" s="47">
        <f t="shared" si="37"/>
        <v>0</v>
      </c>
      <c r="K110" s="47">
        <f t="shared" si="37"/>
        <v>0</v>
      </c>
      <c r="L110" s="47">
        <f t="shared" si="37"/>
        <v>0</v>
      </c>
      <c r="M110" s="47">
        <f t="shared" si="37"/>
        <v>1383861.97</v>
      </c>
      <c r="N110" s="47">
        <v>69155.16</v>
      </c>
      <c r="O110" s="47">
        <f t="shared" ref="O110:V110" si="38">SUM(O68:O109)</f>
        <v>0</v>
      </c>
      <c r="P110" s="47">
        <f t="shared" si="38"/>
        <v>0</v>
      </c>
      <c r="Q110" s="47">
        <f t="shared" si="38"/>
        <v>10061.939999999999</v>
      </c>
      <c r="R110" s="47">
        <f t="shared" si="38"/>
        <v>0</v>
      </c>
      <c r="S110" s="47">
        <f t="shared" si="38"/>
        <v>0</v>
      </c>
      <c r="T110" s="47">
        <f t="shared" si="38"/>
        <v>89279.040000000008</v>
      </c>
      <c r="U110" s="47">
        <f t="shared" si="38"/>
        <v>1304644.8700000001</v>
      </c>
      <c r="V110" s="47">
        <f t="shared" si="38"/>
        <v>1294582.93</v>
      </c>
      <c r="W110" s="2"/>
      <c r="X110" s="47">
        <f>SUM(X68:X109)</f>
        <v>10061.939999999999</v>
      </c>
    </row>
    <row r="111" spans="1:25" x14ac:dyDescent="0.25">
      <c r="G111" s="45"/>
      <c r="H111" s="45"/>
      <c r="I111" s="45"/>
      <c r="J111" s="45"/>
      <c r="K111" s="45"/>
      <c r="L111" s="45"/>
      <c r="M111" s="45"/>
      <c r="N111" s="45"/>
      <c r="O111" s="45"/>
      <c r="P111" s="45"/>
      <c r="Q111" s="45"/>
      <c r="R111" s="45"/>
      <c r="S111" s="45"/>
      <c r="T111" s="45"/>
      <c r="U111" s="45"/>
      <c r="V111" s="45"/>
      <c r="W111" s="2"/>
      <c r="X111" s="2"/>
    </row>
    <row r="112" spans="1:25" ht="14" x14ac:dyDescent="0.3">
      <c r="A112" s="71" t="s">
        <v>2122</v>
      </c>
      <c r="G112" s="45"/>
      <c r="H112" s="45"/>
      <c r="I112" s="45"/>
      <c r="J112" s="45"/>
      <c r="K112" s="45"/>
      <c r="L112" s="45"/>
      <c r="M112" s="45"/>
      <c r="N112" s="45"/>
      <c r="O112" s="45"/>
      <c r="P112" s="45"/>
      <c r="Q112" s="45"/>
      <c r="R112" s="45"/>
      <c r="S112" s="45"/>
      <c r="T112" s="45"/>
      <c r="U112" s="45"/>
      <c r="V112" s="45"/>
      <c r="W112" s="2"/>
      <c r="X112" s="2"/>
    </row>
    <row r="113" spans="1:24" s="48" customFormat="1" ht="14" x14ac:dyDescent="0.3">
      <c r="A113" s="72" t="s">
        <v>2123</v>
      </c>
      <c r="B113" s="48" t="s">
        <v>2002</v>
      </c>
      <c r="D113" s="48" t="s">
        <v>2003</v>
      </c>
      <c r="G113" s="51">
        <v>0</v>
      </c>
      <c r="H113" s="73"/>
      <c r="I113" s="73"/>
      <c r="J113" s="73"/>
      <c r="K113" s="73"/>
      <c r="L113" s="73"/>
      <c r="M113" s="7">
        <f>SUM(G113:L113)</f>
        <v>0</v>
      </c>
      <c r="N113" s="7">
        <f>'FAR 0809 Budgeted'!T113</f>
        <v>0</v>
      </c>
      <c r="O113" s="51"/>
      <c r="P113" s="51"/>
      <c r="Q113" s="73"/>
      <c r="R113" s="73"/>
      <c r="S113" s="73"/>
      <c r="T113" s="51">
        <f>SUM(N113:S113)</f>
        <v>0</v>
      </c>
      <c r="U113" s="51">
        <f>G113-N113</f>
        <v>0</v>
      </c>
      <c r="V113" s="51">
        <f>M113-T113</f>
        <v>0</v>
      </c>
      <c r="W113" s="51"/>
      <c r="X113" s="51">
        <f>SUM(Q113:R113)</f>
        <v>0</v>
      </c>
    </row>
    <row r="114" spans="1:24" s="48" customFormat="1" ht="14" x14ac:dyDescent="0.3">
      <c r="A114" s="72" t="s">
        <v>2089</v>
      </c>
      <c r="D114" s="48" t="s">
        <v>2124</v>
      </c>
      <c r="G114" s="51">
        <v>0</v>
      </c>
      <c r="H114" s="73"/>
      <c r="I114" s="73"/>
      <c r="J114" s="73"/>
      <c r="K114" s="73"/>
      <c r="L114" s="73"/>
      <c r="M114" s="7">
        <f>SUM(G114:L114)</f>
        <v>0</v>
      </c>
      <c r="N114" s="7">
        <f>'FAR 0809 Budgeted'!T114</f>
        <v>0</v>
      </c>
      <c r="O114" s="51"/>
      <c r="P114" s="51"/>
      <c r="Q114" s="73"/>
      <c r="R114" s="73"/>
      <c r="S114" s="73"/>
      <c r="T114" s="51">
        <f>SUM(N114:S114)</f>
        <v>0</v>
      </c>
      <c r="U114" s="51">
        <f>G114-N114</f>
        <v>0</v>
      </c>
      <c r="V114" s="51">
        <f>M114-T114</f>
        <v>0</v>
      </c>
      <c r="W114" s="51"/>
      <c r="X114" s="51">
        <f>SUM(Q114:R114)</f>
        <v>0</v>
      </c>
    </row>
    <row r="115" spans="1:24" s="48" customFormat="1" x14ac:dyDescent="0.25">
      <c r="A115" s="48" t="s">
        <v>2125</v>
      </c>
      <c r="G115" s="51">
        <v>1107.06</v>
      </c>
      <c r="H115" s="73"/>
      <c r="I115" s="73"/>
      <c r="J115" s="73"/>
      <c r="K115" s="73"/>
      <c r="L115" s="73"/>
      <c r="M115" s="7">
        <f>SUM(G115:L115)</f>
        <v>1107.06</v>
      </c>
      <c r="N115" s="7">
        <f>'FAR 0809 Budgeted'!T115</f>
        <v>0</v>
      </c>
      <c r="O115" s="51"/>
      <c r="P115" s="51"/>
      <c r="Q115" s="73"/>
      <c r="R115" s="73"/>
      <c r="S115" s="73"/>
      <c r="T115" s="51">
        <f>SUM(N115:S115)</f>
        <v>0</v>
      </c>
      <c r="U115" s="51">
        <f>G115-N115</f>
        <v>1107.06</v>
      </c>
      <c r="V115" s="51">
        <f>M115-T115</f>
        <v>1107.06</v>
      </c>
      <c r="W115" s="51"/>
      <c r="X115" s="51"/>
    </row>
    <row r="116" spans="1:24" x14ac:dyDescent="0.25">
      <c r="G116" s="47">
        <v>1107.06</v>
      </c>
      <c r="H116" s="47">
        <f t="shared" ref="H116:M116" si="39">SUM(H113:H115)</f>
        <v>0</v>
      </c>
      <c r="I116" s="47">
        <f t="shared" si="39"/>
        <v>0</v>
      </c>
      <c r="J116" s="47">
        <f t="shared" si="39"/>
        <v>0</v>
      </c>
      <c r="K116" s="47">
        <f t="shared" si="39"/>
        <v>0</v>
      </c>
      <c r="L116" s="47">
        <f t="shared" si="39"/>
        <v>0</v>
      </c>
      <c r="M116" s="47">
        <f t="shared" si="39"/>
        <v>1107.06</v>
      </c>
      <c r="N116" s="47">
        <v>0</v>
      </c>
      <c r="O116" s="47">
        <f t="shared" ref="O116:V116" si="40">SUM(O113:O115)</f>
        <v>0</v>
      </c>
      <c r="P116" s="47">
        <f t="shared" si="40"/>
        <v>0</v>
      </c>
      <c r="Q116" s="47">
        <f t="shared" si="40"/>
        <v>0</v>
      </c>
      <c r="R116" s="47">
        <f t="shared" si="40"/>
        <v>0</v>
      </c>
      <c r="S116" s="47">
        <f t="shared" si="40"/>
        <v>0</v>
      </c>
      <c r="T116" s="47">
        <f t="shared" si="40"/>
        <v>0</v>
      </c>
      <c r="U116" s="47">
        <f t="shared" si="40"/>
        <v>1107.06</v>
      </c>
      <c r="V116" s="47">
        <f t="shared" si="40"/>
        <v>1107.06</v>
      </c>
      <c r="W116" s="2"/>
      <c r="X116" s="47">
        <f>SUM(X113:X115)</f>
        <v>0</v>
      </c>
    </row>
    <row r="117" spans="1:24" x14ac:dyDescent="0.25">
      <c r="G117" s="45"/>
      <c r="H117" s="45"/>
      <c r="I117" s="45"/>
      <c r="J117" s="45"/>
      <c r="K117" s="45"/>
      <c r="L117" s="45"/>
      <c r="M117" s="45"/>
      <c r="N117" s="45"/>
      <c r="O117" s="45"/>
      <c r="P117" s="45"/>
      <c r="Q117" s="45"/>
      <c r="R117" s="45"/>
      <c r="S117" s="45"/>
      <c r="T117" s="45"/>
      <c r="U117" s="45"/>
      <c r="V117" s="45"/>
      <c r="W117" s="2"/>
      <c r="X117" s="2"/>
    </row>
    <row r="118" spans="1:24" x14ac:dyDescent="0.25">
      <c r="G118" s="7"/>
      <c r="H118" s="7"/>
      <c r="I118" s="7"/>
      <c r="J118" s="7"/>
      <c r="K118" s="7"/>
      <c r="L118" s="7"/>
      <c r="M118" s="7"/>
      <c r="N118" s="7"/>
      <c r="O118" s="7"/>
      <c r="P118" s="7"/>
      <c r="Q118" s="7"/>
      <c r="R118" s="7"/>
      <c r="S118" s="7"/>
      <c r="T118" s="7"/>
      <c r="U118" s="7"/>
      <c r="V118" s="7"/>
      <c r="W118" s="2"/>
      <c r="X118" s="2"/>
    </row>
    <row r="119" spans="1:24" s="38" customFormat="1" ht="13.5" thickBot="1" x14ac:dyDescent="0.35">
      <c r="G119" s="74">
        <f t="shared" ref="G119:V119" si="41">G20+G30+G35+G43+G53+G65+G110+G116</f>
        <v>5658389.2199999988</v>
      </c>
      <c r="H119" s="74">
        <f t="shared" si="41"/>
        <v>0</v>
      </c>
      <c r="I119" s="74">
        <f t="shared" si="41"/>
        <v>0</v>
      </c>
      <c r="J119" s="74">
        <f t="shared" si="41"/>
        <v>0</v>
      </c>
      <c r="K119" s="74">
        <f t="shared" si="41"/>
        <v>0</v>
      </c>
      <c r="L119" s="74">
        <f t="shared" si="41"/>
        <v>0</v>
      </c>
      <c r="M119" s="74">
        <f t="shared" si="41"/>
        <v>5658389.2199999988</v>
      </c>
      <c r="N119" s="74">
        <f t="shared" si="41"/>
        <v>385737.98</v>
      </c>
      <c r="O119" s="74">
        <f t="shared" si="41"/>
        <v>0</v>
      </c>
      <c r="P119" s="74">
        <f t="shared" si="41"/>
        <v>0</v>
      </c>
      <c r="Q119" s="74">
        <f t="shared" si="41"/>
        <v>159872.58000000002</v>
      </c>
      <c r="R119" s="74">
        <f t="shared" si="41"/>
        <v>0</v>
      </c>
      <c r="S119" s="74">
        <f t="shared" si="41"/>
        <v>0</v>
      </c>
      <c r="T119" s="74">
        <f t="shared" si="41"/>
        <v>706938.14</v>
      </c>
      <c r="U119" s="74">
        <f t="shared" si="41"/>
        <v>5111323.66</v>
      </c>
      <c r="V119" s="74">
        <f t="shared" si="41"/>
        <v>4951451.0799999991</v>
      </c>
      <c r="W119" s="14"/>
      <c r="X119" s="74">
        <f>X20+X30+X35+X43+X53+X65+X110+X116</f>
        <v>159872.58000000002</v>
      </c>
    </row>
    <row r="120" spans="1:24" ht="13" thickTop="1" x14ac:dyDescent="0.25">
      <c r="G120" s="13"/>
      <c r="H120" s="13"/>
      <c r="I120" s="13"/>
      <c r="J120" s="13"/>
      <c r="K120" s="13"/>
      <c r="L120" s="13"/>
      <c r="M120" s="13"/>
      <c r="N120" s="13"/>
      <c r="O120" s="13"/>
      <c r="P120" s="13"/>
      <c r="Q120" s="13"/>
      <c r="R120" s="13"/>
      <c r="S120" s="13"/>
      <c r="T120" s="13"/>
      <c r="U120" s="13"/>
      <c r="V120" s="13"/>
    </row>
  </sheetData>
  <mergeCells count="1">
    <mergeCell ref="U1:U6"/>
  </mergeCells>
  <phoneticPr fontId="15" type="noConversion"/>
  <pageMargins left="1.0236220472440944" right="1.1023622047244095" top="0.43307086614173229" bottom="0.51181102362204722" header="0.23622047244094491" footer="0.23622047244094491"/>
  <pageSetup paperSize="9" scale="20" fitToHeight="4"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tabColor theme="1"/>
  </sheetPr>
  <dimension ref="A1:E45"/>
  <sheetViews>
    <sheetView showGridLines="0" tabSelected="1" zoomScale="90" zoomScaleNormal="90" zoomScaleSheetLayoutView="70" zoomScalePageLayoutView="85" workbookViewId="0">
      <pane ySplit="3" topLeftCell="A4" activePane="bottomLeft" state="frozen"/>
      <selection pane="bottomLeft" activeCell="F10" sqref="F10"/>
    </sheetView>
  </sheetViews>
  <sheetFormatPr defaultColWidth="12.796875" defaultRowHeight="15.5" x14ac:dyDescent="0.35"/>
  <cols>
    <col min="1" max="1" width="34.296875" style="571" customWidth="1"/>
    <col min="2" max="2" width="12.3984375" style="629" bestFit="1" customWidth="1"/>
    <col min="3" max="3" width="13.296875" style="580" bestFit="1" customWidth="1"/>
    <col min="4" max="4" width="14.5" style="566" bestFit="1" customWidth="1"/>
    <col min="5" max="16384" width="12.796875" style="580"/>
  </cols>
  <sheetData>
    <row r="1" spans="1:5" x14ac:dyDescent="0.35">
      <c r="A1" s="603" t="s">
        <v>2266</v>
      </c>
      <c r="B1" s="604" t="s">
        <v>37</v>
      </c>
      <c r="C1" s="604" t="s">
        <v>38</v>
      </c>
      <c r="D1" s="565" t="s">
        <v>866</v>
      </c>
    </row>
    <row r="2" spans="1:5" x14ac:dyDescent="0.35">
      <c r="A2" s="602"/>
      <c r="B2" s="604" t="s">
        <v>39</v>
      </c>
      <c r="C2" s="604" t="s">
        <v>40</v>
      </c>
      <c r="D2" s="604" t="s">
        <v>40</v>
      </c>
    </row>
    <row r="3" spans="1:5" x14ac:dyDescent="0.35">
      <c r="A3" s="602"/>
      <c r="B3" s="604" t="s">
        <v>41</v>
      </c>
      <c r="C3" s="604" t="s">
        <v>41</v>
      </c>
      <c r="D3" s="604" t="s">
        <v>41</v>
      </c>
    </row>
    <row r="4" spans="1:5" s="616" customFormat="1" ht="15" customHeight="1" x14ac:dyDescent="0.3">
      <c r="A4" s="615" t="s">
        <v>42</v>
      </c>
      <c r="B4" s="613">
        <v>731485</v>
      </c>
      <c r="C4" s="613">
        <v>807390</v>
      </c>
      <c r="D4" s="613">
        <v>841050</v>
      </c>
    </row>
    <row r="5" spans="1:5" s="616" customFormat="1" ht="15" customHeight="1" x14ac:dyDescent="0.3">
      <c r="A5" s="615" t="s">
        <v>43</v>
      </c>
      <c r="B5" s="613">
        <v>19877</v>
      </c>
      <c r="C5" s="613">
        <v>28477</v>
      </c>
      <c r="D5" s="613">
        <v>31333</v>
      </c>
    </row>
    <row r="6" spans="1:5" s="616" customFormat="1" ht="15" customHeight="1" x14ac:dyDescent="0.3">
      <c r="A6" s="615" t="s">
        <v>44</v>
      </c>
      <c r="B6" s="613">
        <v>393005</v>
      </c>
      <c r="C6" s="613">
        <v>382508</v>
      </c>
      <c r="D6" s="613">
        <v>277744</v>
      </c>
    </row>
    <row r="7" spans="1:5" s="616" customFormat="1" ht="15" customHeight="1" x14ac:dyDescent="0.3">
      <c r="A7" s="615" t="s">
        <v>45</v>
      </c>
      <c r="B7" s="613">
        <v>69859</v>
      </c>
      <c r="C7" s="613">
        <v>67899</v>
      </c>
      <c r="D7" s="613">
        <v>163627</v>
      </c>
    </row>
    <row r="8" spans="1:5" s="616" customFormat="1" ht="15" customHeight="1" x14ac:dyDescent="0.3">
      <c r="A8" s="615" t="s">
        <v>867</v>
      </c>
      <c r="B8" s="613"/>
      <c r="C8" s="613"/>
      <c r="D8" s="613"/>
    </row>
    <row r="9" spans="1:5" s="616" customFormat="1" ht="15" customHeight="1" x14ac:dyDescent="0.3">
      <c r="A9" s="615" t="s">
        <v>46</v>
      </c>
      <c r="B9" s="613">
        <v>77242</v>
      </c>
      <c r="C9" s="613">
        <v>89029</v>
      </c>
      <c r="D9" s="613">
        <v>103015</v>
      </c>
    </row>
    <row r="10" spans="1:5" s="616" customFormat="1" ht="15" customHeight="1" x14ac:dyDescent="0.3">
      <c r="A10" s="615" t="s">
        <v>47</v>
      </c>
      <c r="B10" s="613">
        <v>294531</v>
      </c>
      <c r="C10" s="613">
        <v>299203</v>
      </c>
      <c r="D10" s="613">
        <v>330821</v>
      </c>
    </row>
    <row r="11" spans="1:5" s="616" customFormat="1" ht="15" customHeight="1" x14ac:dyDescent="0.3">
      <c r="A11" s="615" t="s">
        <v>867</v>
      </c>
      <c r="B11" s="613"/>
      <c r="C11" s="613"/>
      <c r="D11" s="613"/>
    </row>
    <row r="12" spans="1:5" s="616" customFormat="1" ht="15" customHeight="1" x14ac:dyDescent="0.3">
      <c r="A12" s="615" t="s">
        <v>48</v>
      </c>
      <c r="B12" s="613">
        <v>83047</v>
      </c>
      <c r="C12" s="613">
        <v>148343</v>
      </c>
      <c r="D12" s="613">
        <v>166249</v>
      </c>
    </row>
    <row r="13" spans="1:5" s="620" customFormat="1" ht="15" customHeight="1" x14ac:dyDescent="0.3">
      <c r="A13" s="617" t="s">
        <v>49</v>
      </c>
      <c r="B13" s="618">
        <f>SUM(B4:B12)</f>
        <v>1669046</v>
      </c>
      <c r="C13" s="618">
        <f>SUM(C4:C12)</f>
        <v>1822849</v>
      </c>
      <c r="D13" s="601">
        <f>SUM(D4:D12)</f>
        <v>1913839</v>
      </c>
      <c r="E13" s="619"/>
    </row>
    <row r="14" spans="1:5" ht="15" customHeight="1" x14ac:dyDescent="0.35">
      <c r="A14" s="566" t="s">
        <v>50</v>
      </c>
      <c r="B14" s="613">
        <v>1726115</v>
      </c>
      <c r="C14" s="613">
        <v>1822939</v>
      </c>
      <c r="D14" s="613">
        <v>1913842</v>
      </c>
      <c r="E14" s="608"/>
    </row>
    <row r="15" spans="1:5" s="581" customFormat="1" ht="15" customHeight="1" x14ac:dyDescent="0.35">
      <c r="A15" s="603" t="s">
        <v>51</v>
      </c>
      <c r="B15" s="618">
        <f>+B14-B13</f>
        <v>57069</v>
      </c>
      <c r="C15" s="618">
        <f>+C14-C13</f>
        <v>90</v>
      </c>
      <c r="D15" s="618">
        <f>+D14-D13</f>
        <v>3</v>
      </c>
    </row>
    <row r="16" spans="1:5" ht="15" customHeight="1" x14ac:dyDescent="0.35">
      <c r="A16" s="602"/>
      <c r="B16" s="613"/>
      <c r="C16" s="613"/>
    </row>
    <row r="17" spans="1:5" ht="15" customHeight="1" x14ac:dyDescent="0.35">
      <c r="A17" s="603" t="s">
        <v>52</v>
      </c>
      <c r="B17" s="613"/>
      <c r="C17" s="613"/>
    </row>
    <row r="18" spans="1:5" ht="15" customHeight="1" x14ac:dyDescent="0.35">
      <c r="A18" s="602" t="s">
        <v>53</v>
      </c>
      <c r="B18" s="613">
        <v>955230</v>
      </c>
      <c r="C18" s="613">
        <v>1069658</v>
      </c>
      <c r="D18" s="613">
        <v>1146335</v>
      </c>
    </row>
    <row r="19" spans="1:5" ht="15" customHeight="1" x14ac:dyDescent="0.35">
      <c r="A19" s="602" t="s">
        <v>54</v>
      </c>
      <c r="B19" s="613">
        <v>585052</v>
      </c>
      <c r="C19" s="613">
        <v>610536</v>
      </c>
      <c r="D19" s="613">
        <v>802979</v>
      </c>
      <c r="E19" s="608"/>
    </row>
    <row r="20" spans="1:5" ht="15" customHeight="1" x14ac:dyDescent="0.35">
      <c r="A20" s="602" t="s">
        <v>55</v>
      </c>
      <c r="B20" s="613">
        <v>340600</v>
      </c>
      <c r="C20" s="613">
        <v>343582</v>
      </c>
      <c r="D20" s="613">
        <v>331500</v>
      </c>
    </row>
    <row r="21" spans="1:5" ht="15" customHeight="1" x14ac:dyDescent="0.35">
      <c r="A21" s="602" t="s">
        <v>56</v>
      </c>
      <c r="B21" s="613">
        <v>16104</v>
      </c>
      <c r="C21" s="613">
        <v>15457</v>
      </c>
      <c r="D21" s="613">
        <v>14809</v>
      </c>
    </row>
    <row r="22" spans="1:5" ht="15" customHeight="1" x14ac:dyDescent="0.35">
      <c r="A22" s="602" t="s">
        <v>57</v>
      </c>
      <c r="B22" s="613">
        <v>-227939</v>
      </c>
      <c r="C22" s="613">
        <v>-216385</v>
      </c>
      <c r="D22" s="613">
        <v>-372785</v>
      </c>
      <c r="E22" s="621"/>
    </row>
    <row r="23" spans="1:5" ht="15" customHeight="1" x14ac:dyDescent="0.35">
      <c r="A23" s="602" t="s">
        <v>58</v>
      </c>
      <c r="B23" s="613">
        <v>0</v>
      </c>
      <c r="C23" s="613">
        <v>0</v>
      </c>
      <c r="D23" s="613">
        <v>0</v>
      </c>
      <c r="E23" s="621"/>
    </row>
    <row r="24" spans="1:5" s="581" customFormat="1" ht="15" customHeight="1" x14ac:dyDescent="0.35">
      <c r="A24" s="603" t="s">
        <v>49</v>
      </c>
      <c r="B24" s="618">
        <f>SUM(B18:B22)</f>
        <v>1669047</v>
      </c>
      <c r="C24" s="618">
        <f>SUM(C18:C22)</f>
        <v>1822848</v>
      </c>
      <c r="D24" s="618">
        <f>SUM(D18:D23)</f>
        <v>1922838</v>
      </c>
    </row>
    <row r="25" spans="1:5" s="581" customFormat="1" ht="15" customHeight="1" x14ac:dyDescent="0.35">
      <c r="A25" s="603"/>
      <c r="B25" s="618"/>
      <c r="C25" s="622"/>
      <c r="D25" s="573"/>
    </row>
    <row r="26" spans="1:5" ht="15" customHeight="1" x14ac:dyDescent="0.35">
      <c r="A26" s="603" t="s">
        <v>59</v>
      </c>
      <c r="B26" s="613"/>
      <c r="C26" s="590"/>
    </row>
    <row r="27" spans="1:5" ht="15" customHeight="1" x14ac:dyDescent="0.35">
      <c r="A27" s="602" t="s">
        <v>60</v>
      </c>
      <c r="B27" s="613">
        <v>177314</v>
      </c>
      <c r="C27" s="623">
        <v>100000</v>
      </c>
      <c r="D27" s="624">
        <v>100000</v>
      </c>
    </row>
    <row r="28" spans="1:5" ht="15" customHeight="1" x14ac:dyDescent="0.35">
      <c r="A28" s="602" t="s">
        <v>61</v>
      </c>
      <c r="B28" s="613">
        <v>57068</v>
      </c>
      <c r="C28" s="624">
        <v>91</v>
      </c>
      <c r="D28" s="624">
        <f>+D15</f>
        <v>3</v>
      </c>
    </row>
    <row r="29" spans="1:5" ht="15" customHeight="1" x14ac:dyDescent="0.35">
      <c r="A29" s="602" t="s">
        <v>62</v>
      </c>
      <c r="B29" s="613">
        <v>77314</v>
      </c>
      <c r="C29" s="624">
        <v>0</v>
      </c>
      <c r="D29" s="624">
        <v>0</v>
      </c>
    </row>
    <row r="30" spans="1:5" s="581" customFormat="1" ht="15" customHeight="1" x14ac:dyDescent="0.35">
      <c r="A30" s="603" t="s">
        <v>63</v>
      </c>
      <c r="B30" s="618">
        <f>+B27+B28-B29</f>
        <v>157068</v>
      </c>
      <c r="C30" s="618">
        <f>+C27+C28-C29</f>
        <v>100091</v>
      </c>
      <c r="D30" s="618">
        <f>+D27+D28-D29</f>
        <v>100003</v>
      </c>
    </row>
    <row r="31" spans="1:5" ht="12.75" customHeight="1" x14ac:dyDescent="0.35">
      <c r="A31" s="602"/>
      <c r="B31" s="613"/>
      <c r="C31" s="590"/>
    </row>
    <row r="32" spans="1:5" ht="15" customHeight="1" x14ac:dyDescent="0.35">
      <c r="A32" s="603" t="s">
        <v>64</v>
      </c>
      <c r="B32" s="613"/>
      <c r="C32" s="590"/>
    </row>
    <row r="33" spans="1:5" ht="15" customHeight="1" x14ac:dyDescent="0.35">
      <c r="A33" s="602" t="s">
        <v>60</v>
      </c>
      <c r="B33" s="613">
        <v>1488384</v>
      </c>
      <c r="C33" s="623">
        <v>1157365</v>
      </c>
      <c r="D33" s="624">
        <v>1576504</v>
      </c>
    </row>
    <row r="34" spans="1:5" ht="15" customHeight="1" x14ac:dyDescent="0.35">
      <c r="A34" s="602" t="s">
        <v>65</v>
      </c>
      <c r="B34" s="613">
        <v>452614</v>
      </c>
      <c r="C34" s="625">
        <v>343582</v>
      </c>
      <c r="D34" s="624">
        <v>334500</v>
      </c>
      <c r="E34" s="608"/>
    </row>
    <row r="35" spans="1:5" ht="15" customHeight="1" x14ac:dyDescent="0.35">
      <c r="A35" s="602" t="s">
        <v>66</v>
      </c>
      <c r="B35" s="613">
        <v>416532</v>
      </c>
      <c r="C35" s="624">
        <v>0</v>
      </c>
      <c r="D35" s="624">
        <v>0</v>
      </c>
      <c r="E35" s="608"/>
    </row>
    <row r="36" spans="1:5" ht="15" customHeight="1" x14ac:dyDescent="0.35">
      <c r="A36" s="602" t="s">
        <v>67</v>
      </c>
      <c r="B36" s="613">
        <v>752466</v>
      </c>
      <c r="C36" s="625">
        <v>512422</v>
      </c>
      <c r="D36" s="614">
        <f>Reserves!I31</f>
        <v>825020</v>
      </c>
    </row>
    <row r="37" spans="1:5" s="581" customFormat="1" ht="15" customHeight="1" x14ac:dyDescent="0.35">
      <c r="A37" s="603" t="s">
        <v>68</v>
      </c>
      <c r="B37" s="618">
        <f>B33+B34+B35-B36</f>
        <v>1605064</v>
      </c>
      <c r="C37" s="618">
        <f>C33+C34+C35-C36</f>
        <v>988525</v>
      </c>
      <c r="D37" s="618">
        <f>D33+D34+D35-D36</f>
        <v>1085984</v>
      </c>
    </row>
    <row r="38" spans="1:5" ht="8.25" customHeight="1" x14ac:dyDescent="0.35">
      <c r="A38" s="602"/>
      <c r="B38" s="613"/>
      <c r="C38" s="590"/>
      <c r="D38" s="590"/>
    </row>
    <row r="39" spans="1:5" s="581" customFormat="1" ht="15" customHeight="1" x14ac:dyDescent="0.35">
      <c r="A39" s="603" t="s">
        <v>69</v>
      </c>
      <c r="B39" s="618">
        <v>1762131</v>
      </c>
      <c r="C39" s="618">
        <f>+C37+C30</f>
        <v>1088616</v>
      </c>
      <c r="D39" s="618">
        <f>+D37+D30</f>
        <v>1185987</v>
      </c>
    </row>
    <row r="40" spans="1:5" ht="9.75" customHeight="1" x14ac:dyDescent="0.35">
      <c r="A40" s="602"/>
      <c r="B40" s="613"/>
      <c r="C40" s="590"/>
    </row>
    <row r="41" spans="1:5" ht="15" customHeight="1" x14ac:dyDescent="0.35">
      <c r="A41" s="602" t="s">
        <v>70</v>
      </c>
      <c r="B41" s="633">
        <v>8091.3</v>
      </c>
      <c r="C41" s="633">
        <v>8497.1</v>
      </c>
      <c r="D41" s="633">
        <v>8745.9</v>
      </c>
      <c r="E41" s="608"/>
    </row>
    <row r="42" spans="1:5" ht="15" customHeight="1" x14ac:dyDescent="0.35">
      <c r="A42" s="602" t="s">
        <v>71</v>
      </c>
      <c r="B42" s="626">
        <v>210.333</v>
      </c>
      <c r="C42" s="723">
        <f>(B42/100)*102</f>
        <v>214.53966000000003</v>
      </c>
      <c r="D42" s="722">
        <f>(C42/100)*102</f>
        <v>218.83045320000002</v>
      </c>
      <c r="E42" s="627"/>
    </row>
    <row r="43" spans="1:5" ht="14.25" customHeight="1" x14ac:dyDescent="0.35">
      <c r="A43" s="602" t="s">
        <v>72</v>
      </c>
      <c r="B43" s="613">
        <v>42000</v>
      </c>
      <c r="C43" s="625">
        <v>28000</v>
      </c>
      <c r="D43" s="625">
        <v>14000</v>
      </c>
    </row>
    <row r="44" spans="1:5" ht="31.5" customHeight="1" x14ac:dyDescent="0.35">
      <c r="A44" s="602"/>
      <c r="B44" s="628"/>
      <c r="C44" s="566"/>
    </row>
    <row r="45" spans="1:5" x14ac:dyDescent="0.35">
      <c r="A45" s="572"/>
      <c r="B45" s="572"/>
      <c r="C45" s="572"/>
    </row>
  </sheetData>
  <phoneticPr fontId="0" type="noConversion"/>
  <pageMargins left="0" right="0" top="0.74803149606299213" bottom="0.74803149606299213" header="0.31496062992125984" footer="0.31496062992125984"/>
  <pageSetup paperSize="9" fitToHeight="0"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J26"/>
  <sheetViews>
    <sheetView workbookViewId="0"/>
  </sheetViews>
  <sheetFormatPr defaultColWidth="10.69921875" defaultRowHeight="12.5" x14ac:dyDescent="0.25"/>
  <cols>
    <col min="1" max="1" width="18.296875" style="84" bestFit="1" customWidth="1"/>
    <col min="2" max="2" width="50.69921875" style="84" bestFit="1" customWidth="1"/>
    <col min="3" max="3" width="18.19921875" style="84" customWidth="1"/>
    <col min="4" max="4" width="18.19921875" style="93" customWidth="1"/>
    <col min="5" max="5" width="18.19921875" style="84" customWidth="1"/>
    <col min="6" max="7" width="18.19921875" style="3" customWidth="1"/>
    <col min="8" max="8" width="15.296875" style="84" bestFit="1" customWidth="1"/>
    <col min="9" max="9" width="14.796875" style="84" bestFit="1" customWidth="1"/>
    <col min="10" max="10" width="12" style="3" bestFit="1" customWidth="1"/>
    <col min="11" max="16384" width="10.69921875" style="84"/>
  </cols>
  <sheetData>
    <row r="1" spans="1:10" ht="15.5" x14ac:dyDescent="0.35">
      <c r="A1" s="83" t="s">
        <v>73</v>
      </c>
      <c r="C1" s="3"/>
      <c r="D1" s="3"/>
      <c r="E1" s="3"/>
      <c r="H1" s="3"/>
      <c r="J1" s="84"/>
    </row>
    <row r="2" spans="1:10" ht="15.5" x14ac:dyDescent="0.35">
      <c r="A2" s="83"/>
      <c r="C2" s="3"/>
      <c r="D2" s="3"/>
      <c r="E2" s="3"/>
      <c r="H2" s="3"/>
      <c r="J2" s="84"/>
    </row>
    <row r="3" spans="1:10" ht="15.5" x14ac:dyDescent="0.35">
      <c r="A3" s="83" t="s">
        <v>2127</v>
      </c>
      <c r="C3" s="3"/>
      <c r="D3" s="3"/>
      <c r="E3" s="3"/>
      <c r="H3" s="3"/>
      <c r="J3" s="84"/>
    </row>
    <row r="4" spans="1:10" ht="15.5" x14ac:dyDescent="0.35">
      <c r="A4" s="83"/>
      <c r="C4" s="3"/>
      <c r="D4" s="3"/>
      <c r="E4" s="3"/>
      <c r="H4" s="3"/>
      <c r="J4" s="84"/>
    </row>
    <row r="5" spans="1:10" ht="15.5" x14ac:dyDescent="0.35">
      <c r="A5" s="83" t="s">
        <v>2128</v>
      </c>
      <c r="C5" s="3"/>
      <c r="D5" s="3"/>
      <c r="E5" s="3"/>
      <c r="H5" s="3"/>
      <c r="J5" s="84"/>
    </row>
    <row r="9" spans="1:10" s="91" customFormat="1" ht="26" x14ac:dyDescent="0.3">
      <c r="A9" s="85" t="s">
        <v>2129</v>
      </c>
      <c r="B9" s="85" t="s">
        <v>2130</v>
      </c>
      <c r="C9" s="86" t="s">
        <v>2131</v>
      </c>
      <c r="D9" s="86" t="s">
        <v>2132</v>
      </c>
      <c r="E9" s="87" t="s">
        <v>2133</v>
      </c>
      <c r="F9" s="88" t="s">
        <v>2134</v>
      </c>
      <c r="G9" s="88" t="s">
        <v>2135</v>
      </c>
      <c r="H9" s="88" t="s">
        <v>2136</v>
      </c>
      <c r="I9" s="89" t="s">
        <v>2137</v>
      </c>
      <c r="J9" s="90"/>
    </row>
    <row r="10" spans="1:10" s="92" customFormat="1" x14ac:dyDescent="0.25">
      <c r="A10" s="84" t="s">
        <v>2138</v>
      </c>
      <c r="B10" s="84" t="s">
        <v>2139</v>
      </c>
      <c r="C10" s="2"/>
      <c r="D10" s="715">
        <f>1/20*100%</f>
        <v>0.05</v>
      </c>
      <c r="E10" s="13">
        <v>67391.929999999993</v>
      </c>
      <c r="F10" s="3">
        <f>ROUND($E10*-$D10,2)</f>
        <v>-3369.6</v>
      </c>
      <c r="G10" s="3">
        <f>ROUND($E10*-$D10,2)</f>
        <v>-3369.6</v>
      </c>
      <c r="H10" s="3">
        <f>ROUND($E10*-$D10,2)</f>
        <v>-3369.6</v>
      </c>
      <c r="I10" s="3">
        <f t="shared" ref="I10:I15" si="0">SUM(E10:H10)</f>
        <v>57283.13</v>
      </c>
      <c r="J10" s="84" t="s">
        <v>2010</v>
      </c>
    </row>
    <row r="11" spans="1:10" s="92" customFormat="1" x14ac:dyDescent="0.25">
      <c r="A11" s="84" t="s">
        <v>2138</v>
      </c>
      <c r="B11" s="84" t="s">
        <v>2140</v>
      </c>
      <c r="C11" s="2"/>
      <c r="D11" s="715">
        <f>1/20*100%</f>
        <v>0.05</v>
      </c>
      <c r="E11" s="13">
        <v>54386.239999999998</v>
      </c>
      <c r="F11" s="3">
        <f t="shared" ref="F11:H15" si="1">ROUND($E11*-$D11,2)</f>
        <v>-2719.31</v>
      </c>
      <c r="G11" s="3">
        <f t="shared" si="1"/>
        <v>-2719.31</v>
      </c>
      <c r="H11" s="3">
        <f t="shared" si="1"/>
        <v>-2719.31</v>
      </c>
      <c r="I11" s="3">
        <f t="shared" si="0"/>
        <v>46228.310000000005</v>
      </c>
      <c r="J11" s="84" t="s">
        <v>2010</v>
      </c>
    </row>
    <row r="12" spans="1:10" s="92" customFormat="1" x14ac:dyDescent="0.25">
      <c r="A12" s="84" t="s">
        <v>2138</v>
      </c>
      <c r="B12" s="84" t="s">
        <v>2141</v>
      </c>
      <c r="C12" s="2"/>
      <c r="D12" s="715">
        <f>1/30</f>
        <v>3.3333333333333333E-2</v>
      </c>
      <c r="E12" s="13">
        <v>454001.7</v>
      </c>
      <c r="F12" s="3">
        <f t="shared" si="1"/>
        <v>-15133.39</v>
      </c>
      <c r="G12" s="3">
        <f t="shared" si="1"/>
        <v>-15133.39</v>
      </c>
      <c r="H12" s="3">
        <f t="shared" si="1"/>
        <v>-15133.39</v>
      </c>
      <c r="I12" s="3">
        <f t="shared" si="0"/>
        <v>408601.52999999997</v>
      </c>
      <c r="J12" s="84" t="s">
        <v>2010</v>
      </c>
    </row>
    <row r="13" spans="1:10" s="92" customFormat="1" x14ac:dyDescent="0.25">
      <c r="A13" s="84" t="s">
        <v>2138</v>
      </c>
      <c r="B13" s="84" t="s">
        <v>2142</v>
      </c>
      <c r="C13" s="2"/>
      <c r="D13" s="715">
        <v>0</v>
      </c>
      <c r="E13" s="13">
        <v>374720.13</v>
      </c>
      <c r="F13" s="3">
        <f t="shared" si="1"/>
        <v>0</v>
      </c>
      <c r="G13" s="3">
        <f t="shared" si="1"/>
        <v>0</v>
      </c>
      <c r="H13" s="3">
        <f t="shared" si="1"/>
        <v>0</v>
      </c>
      <c r="I13" s="3">
        <f t="shared" si="0"/>
        <v>374720.13</v>
      </c>
      <c r="J13" s="84" t="s">
        <v>2010</v>
      </c>
    </row>
    <row r="14" spans="1:10" s="92" customFormat="1" x14ac:dyDescent="0.25">
      <c r="A14" s="84" t="s">
        <v>2143</v>
      </c>
      <c r="B14" s="84" t="s">
        <v>2144</v>
      </c>
      <c r="C14" s="716" t="s">
        <v>2145</v>
      </c>
      <c r="D14" s="717">
        <v>0.1</v>
      </c>
      <c r="E14" s="3">
        <v>15000</v>
      </c>
      <c r="F14" s="3">
        <f t="shared" si="1"/>
        <v>-1500</v>
      </c>
      <c r="G14" s="3">
        <f t="shared" si="1"/>
        <v>-1500</v>
      </c>
      <c r="H14" s="3">
        <f t="shared" si="1"/>
        <v>-1500</v>
      </c>
      <c r="I14" s="3">
        <f t="shared" si="0"/>
        <v>10500</v>
      </c>
      <c r="J14" s="84" t="s">
        <v>2010</v>
      </c>
    </row>
    <row r="15" spans="1:10" s="92" customFormat="1" x14ac:dyDescent="0.25">
      <c r="A15" s="84" t="s">
        <v>2146</v>
      </c>
      <c r="B15" s="84" t="s">
        <v>2147</v>
      </c>
      <c r="C15" s="716" t="s">
        <v>2145</v>
      </c>
      <c r="D15" s="717">
        <v>0.2</v>
      </c>
      <c r="E15" s="3">
        <v>10000</v>
      </c>
      <c r="F15" s="3">
        <f t="shared" si="1"/>
        <v>-2000</v>
      </c>
      <c r="G15" s="3">
        <f t="shared" si="1"/>
        <v>-2000</v>
      </c>
      <c r="H15" s="3">
        <f t="shared" si="1"/>
        <v>-2000</v>
      </c>
      <c r="I15" s="3">
        <f t="shared" si="0"/>
        <v>4000</v>
      </c>
      <c r="J15" s="84" t="s">
        <v>2148</v>
      </c>
    </row>
    <row r="16" spans="1:10" x14ac:dyDescent="0.25">
      <c r="C16" s="2"/>
      <c r="E16" s="3"/>
      <c r="I16" s="3"/>
    </row>
    <row r="17" spans="3:10" ht="13.5" thickBot="1" x14ac:dyDescent="0.35">
      <c r="C17" s="2"/>
      <c r="E17" s="94">
        <f>SUM(E10:E16)</f>
        <v>975500</v>
      </c>
      <c r="F17" s="95">
        <f>SUM(F10:F16)</f>
        <v>-24722.3</v>
      </c>
      <c r="G17" s="95">
        <f>SUM(G10:G16)</f>
        <v>-24722.3</v>
      </c>
      <c r="H17" s="95">
        <f>SUM(H10:H16)</f>
        <v>-24722.3</v>
      </c>
      <c r="I17" s="95">
        <f>SUM(I10:I16)</f>
        <v>901333.1</v>
      </c>
    </row>
    <row r="18" spans="3:10" ht="13" thickTop="1" x14ac:dyDescent="0.25"/>
    <row r="21" spans="3:10" x14ac:dyDescent="0.25">
      <c r="F21" s="3" t="s">
        <v>2149</v>
      </c>
      <c r="J21" s="3">
        <v>24722.3</v>
      </c>
    </row>
    <row r="22" spans="3:10" x14ac:dyDescent="0.25">
      <c r="F22" s="3" t="s">
        <v>2150</v>
      </c>
      <c r="J22" s="3">
        <f>-SUMIF($J$10:$J$15,"MB",$F$10:$F$15)</f>
        <v>2000</v>
      </c>
    </row>
    <row r="23" spans="3:10" x14ac:dyDescent="0.25">
      <c r="F23" s="3" t="s">
        <v>2151</v>
      </c>
      <c r="J23" s="3">
        <f>-SUMIF($J$10:$J$15,"BG",$F$10:$F$15)</f>
        <v>22722.3</v>
      </c>
    </row>
    <row r="25" spans="3:10" x14ac:dyDescent="0.25">
      <c r="F25" s="3" t="s">
        <v>2152</v>
      </c>
      <c r="J25" s="3">
        <f>J21</f>
        <v>24722.3</v>
      </c>
    </row>
    <row r="26" spans="3:10" x14ac:dyDescent="0.25">
      <c r="F26" s="3" t="s">
        <v>2153</v>
      </c>
      <c r="J26" s="3">
        <f>J25</f>
        <v>24722.3</v>
      </c>
    </row>
  </sheetData>
  <phoneticPr fontId="15" type="noConversion"/>
  <pageMargins left="0.75" right="0.75" top="1" bottom="1" header="0.5" footer="0.5"/>
  <pageSetup paperSize="9" scale="71" orientation="landscape" r:id="rId1"/>
  <headerFooter alignWithMargins="0"/>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4">
    <tabColor rgb="FFFF0000"/>
    <pageSetUpPr fitToPage="1"/>
  </sheetPr>
  <dimension ref="A1:F38"/>
  <sheetViews>
    <sheetView zoomScale="55" zoomScaleNormal="55" workbookViewId="0">
      <selection activeCell="I28" sqref="I28"/>
    </sheetView>
  </sheetViews>
  <sheetFormatPr defaultRowHeight="13" x14ac:dyDescent="0.3"/>
  <cols>
    <col min="1" max="1" width="11.796875" bestFit="1" customWidth="1"/>
    <col min="2" max="2" width="36.69921875" bestFit="1" customWidth="1"/>
    <col min="3" max="3" width="16.796875" customWidth="1"/>
    <col min="4" max="6" width="20.796875" customWidth="1"/>
  </cols>
  <sheetData>
    <row r="1" spans="1:6" s="6" customFormat="1" x14ac:dyDescent="0.3">
      <c r="A1" s="141" t="s">
        <v>73</v>
      </c>
      <c r="B1" s="712"/>
      <c r="C1" s="712"/>
      <c r="D1" s="141"/>
      <c r="E1" s="141"/>
      <c r="F1" s="141"/>
    </row>
    <row r="2" spans="1:6" s="6" customFormat="1" x14ac:dyDescent="0.3">
      <c r="A2" s="141"/>
      <c r="B2" s="712"/>
      <c r="C2" s="712"/>
      <c r="D2" s="148" t="e">
        <f>D8+D20</f>
        <v>#REF!</v>
      </c>
      <c r="E2" s="148" t="e">
        <f>E8+E20</f>
        <v>#REF!</v>
      </c>
      <c r="F2" s="148" t="e">
        <f>F8+F20</f>
        <v>#REF!</v>
      </c>
    </row>
    <row r="3" spans="1:6" s="6" customFormat="1" x14ac:dyDescent="0.3">
      <c r="A3" s="141" t="s">
        <v>74</v>
      </c>
      <c r="B3" s="712"/>
      <c r="C3" s="712"/>
      <c r="D3" s="148">
        <f>SUM(D32:D38)</f>
        <v>293138</v>
      </c>
      <c r="E3" s="148">
        <f>SUM(E32:E38)</f>
        <v>285010</v>
      </c>
      <c r="F3" s="148">
        <f>SUM(F32:F38)</f>
        <v>302966</v>
      </c>
    </row>
    <row r="4" spans="1:6" s="6" customFormat="1" x14ac:dyDescent="0.3">
      <c r="A4" s="141"/>
      <c r="B4" s="712"/>
      <c r="C4" s="712"/>
      <c r="D4" s="148"/>
      <c r="E4" s="148"/>
      <c r="F4" s="148"/>
    </row>
    <row r="5" spans="1:6" s="1" customFormat="1" ht="15.5" x14ac:dyDescent="0.35">
      <c r="D5" s="153" t="s">
        <v>2154</v>
      </c>
      <c r="E5" s="154" t="s">
        <v>2154</v>
      </c>
      <c r="F5" s="155" t="s">
        <v>75</v>
      </c>
    </row>
    <row r="6" spans="1:6" s="1" customFormat="1" ht="15.5" x14ac:dyDescent="0.35">
      <c r="D6" s="718" t="s">
        <v>79</v>
      </c>
      <c r="E6" s="719" t="s">
        <v>80</v>
      </c>
      <c r="F6" s="720" t="s">
        <v>81</v>
      </c>
    </row>
    <row r="7" spans="1:6" s="96" customFormat="1" ht="49.5" customHeight="1" x14ac:dyDescent="0.3">
      <c r="D7" s="100" t="s">
        <v>82</v>
      </c>
      <c r="E7" s="105" t="s">
        <v>82</v>
      </c>
      <c r="F7" s="101" t="s">
        <v>82</v>
      </c>
    </row>
    <row r="8" spans="1:6" s="1" customFormat="1" ht="15.5" x14ac:dyDescent="0.35">
      <c r="D8" s="97" t="e">
        <f>SUM(#REF!)+#REF!</f>
        <v>#REF!</v>
      </c>
      <c r="E8" s="106" t="e">
        <f>SUM(#REF!)+#REF!</f>
        <v>#REF!</v>
      </c>
      <c r="F8" s="98" t="e">
        <f>SUM(#REF!)+#REF!</f>
        <v>#REF!</v>
      </c>
    </row>
    <row r="9" spans="1:6" s="1" customFormat="1" ht="15.5" x14ac:dyDescent="0.35">
      <c r="D9" s="97"/>
      <c r="E9" s="106"/>
      <c r="F9" s="98"/>
    </row>
    <row r="10" spans="1:6" s="1" customFormat="1" ht="15.5" x14ac:dyDescent="0.35">
      <c r="A10" s="103" t="s">
        <v>84</v>
      </c>
      <c r="B10" s="1" t="s">
        <v>43</v>
      </c>
      <c r="C10" s="102">
        <v>2.81E-2</v>
      </c>
      <c r="D10" s="104" t="e">
        <f>D$8*$C10</f>
        <v>#REF!</v>
      </c>
      <c r="E10" s="106" t="e">
        <f>E$8*$C10</f>
        <v>#REF!</v>
      </c>
      <c r="F10" s="98" t="e">
        <f>F$8*$C10</f>
        <v>#REF!</v>
      </c>
    </row>
    <row r="11" spans="1:6" s="1" customFormat="1" ht="15.5" x14ac:dyDescent="0.35">
      <c r="A11" s="103" t="s">
        <v>85</v>
      </c>
      <c r="B11" s="1" t="s">
        <v>86</v>
      </c>
      <c r="C11" s="102">
        <v>0.32689999999999997</v>
      </c>
      <c r="D11" s="104" t="e">
        <f t="shared" ref="D11:F17" si="0">D$8*$C11</f>
        <v>#REF!</v>
      </c>
      <c r="E11" s="106" t="e">
        <f t="shared" si="0"/>
        <v>#REF!</v>
      </c>
      <c r="F11" s="98" t="e">
        <f t="shared" si="0"/>
        <v>#REF!</v>
      </c>
    </row>
    <row r="12" spans="1:6" s="1" customFormat="1" ht="15.5" x14ac:dyDescent="0.35">
      <c r="A12" s="103" t="s">
        <v>87</v>
      </c>
      <c r="B12" s="1" t="s">
        <v>88</v>
      </c>
      <c r="C12" s="102">
        <v>3.0200000000000001E-2</v>
      </c>
      <c r="D12" s="104" t="e">
        <f t="shared" si="0"/>
        <v>#REF!</v>
      </c>
      <c r="E12" s="106" t="e">
        <f t="shared" si="0"/>
        <v>#REF!</v>
      </c>
      <c r="F12" s="98" t="e">
        <f t="shared" si="0"/>
        <v>#REF!</v>
      </c>
    </row>
    <row r="13" spans="1:6" s="1" customFormat="1" ht="15.5" x14ac:dyDescent="0.35">
      <c r="A13" s="103" t="s">
        <v>89</v>
      </c>
      <c r="B13" s="1" t="s">
        <v>90</v>
      </c>
      <c r="C13" s="102">
        <v>0.12869999999999998</v>
      </c>
      <c r="D13" s="112" t="e">
        <f t="shared" si="0"/>
        <v>#REF!</v>
      </c>
      <c r="E13" s="106" t="e">
        <f t="shared" si="0"/>
        <v>#REF!</v>
      </c>
      <c r="F13" s="98" t="e">
        <f t="shared" si="0"/>
        <v>#REF!</v>
      </c>
    </row>
    <row r="14" spans="1:6" s="1" customFormat="1" ht="15.5" x14ac:dyDescent="0.35">
      <c r="A14" s="103" t="s">
        <v>91</v>
      </c>
      <c r="B14" s="1" t="s">
        <v>92</v>
      </c>
      <c r="C14" s="102">
        <v>0.12869999999999998</v>
      </c>
      <c r="D14" s="112" t="e">
        <f t="shared" si="0"/>
        <v>#REF!</v>
      </c>
      <c r="E14" s="106" t="e">
        <f t="shared" si="0"/>
        <v>#REF!</v>
      </c>
      <c r="F14" s="98" t="e">
        <f t="shared" si="0"/>
        <v>#REF!</v>
      </c>
    </row>
    <row r="15" spans="1:6" s="1" customFormat="1" ht="15.5" x14ac:dyDescent="0.35">
      <c r="A15" s="103" t="s">
        <v>91</v>
      </c>
      <c r="B15" s="1" t="s">
        <v>92</v>
      </c>
      <c r="C15" s="102">
        <v>0.30959999999999999</v>
      </c>
      <c r="D15" s="111" t="e">
        <f t="shared" si="0"/>
        <v>#REF!</v>
      </c>
      <c r="E15" s="106" t="e">
        <f t="shared" si="0"/>
        <v>#REF!</v>
      </c>
      <c r="F15" s="98" t="e">
        <f t="shared" si="0"/>
        <v>#REF!</v>
      </c>
    </row>
    <row r="16" spans="1:6" s="1" customFormat="1" ht="15.5" x14ac:dyDescent="0.35">
      <c r="A16" s="103" t="s">
        <v>93</v>
      </c>
      <c r="B16" s="1" t="s">
        <v>94</v>
      </c>
      <c r="C16" s="102">
        <v>8.199999999999999E-3</v>
      </c>
      <c r="D16" s="113" t="e">
        <f t="shared" si="0"/>
        <v>#REF!</v>
      </c>
      <c r="E16" s="106" t="e">
        <f t="shared" si="0"/>
        <v>#REF!</v>
      </c>
      <c r="F16" s="98" t="e">
        <f t="shared" si="0"/>
        <v>#REF!</v>
      </c>
    </row>
    <row r="17" spans="1:6" s="1" customFormat="1" ht="15.5" x14ac:dyDescent="0.35">
      <c r="A17" s="103" t="s">
        <v>95</v>
      </c>
      <c r="B17" s="1" t="s">
        <v>96</v>
      </c>
      <c r="C17" s="102">
        <v>3.9599999999999996E-2</v>
      </c>
      <c r="D17" s="114" t="e">
        <f t="shared" si="0"/>
        <v>#REF!</v>
      </c>
      <c r="E17" s="107" t="e">
        <f t="shared" si="0"/>
        <v>#REF!</v>
      </c>
      <c r="F17" s="99" t="e">
        <f t="shared" si="0"/>
        <v>#REF!</v>
      </c>
    </row>
    <row r="18" spans="1:6" s="1" customFormat="1" ht="15.5" x14ac:dyDescent="0.35">
      <c r="D18" s="108"/>
      <c r="E18" s="110"/>
      <c r="F18" s="109"/>
    </row>
    <row r="19" spans="1:6" s="1" customFormat="1" ht="15.5" x14ac:dyDescent="0.35">
      <c r="D19" s="100" t="s">
        <v>97</v>
      </c>
      <c r="E19" s="105" t="s">
        <v>97</v>
      </c>
      <c r="F19" s="101" t="s">
        <v>97</v>
      </c>
    </row>
    <row r="20" spans="1:6" s="1" customFormat="1" ht="15.5" x14ac:dyDescent="0.35">
      <c r="D20" s="97" t="e">
        <f>SUM(#REF!)-#REF!</f>
        <v>#REF!</v>
      </c>
      <c r="E20" s="106" t="e">
        <f>SUM(#REF!)-#REF!+#REF!</f>
        <v>#REF!</v>
      </c>
      <c r="F20" s="98" t="e">
        <f>SUM(#REF!)-#REF!</f>
        <v>#REF!</v>
      </c>
    </row>
    <row r="21" spans="1:6" s="1" customFormat="1" ht="15.5" x14ac:dyDescent="0.35">
      <c r="D21" s="97"/>
      <c r="E21" s="106"/>
      <c r="F21" s="98"/>
    </row>
    <row r="22" spans="1:6" ht="15.5" x14ac:dyDescent="0.35">
      <c r="A22" s="103" t="s">
        <v>98</v>
      </c>
      <c r="B22" s="1" t="s">
        <v>43</v>
      </c>
      <c r="D22" s="104" t="e">
        <f t="shared" ref="D22:F29" si="1">D$20*$C10</f>
        <v>#REF!</v>
      </c>
      <c r="E22" s="106" t="e">
        <f t="shared" si="1"/>
        <v>#REF!</v>
      </c>
      <c r="F22" s="98" t="e">
        <f>F$20*$C10</f>
        <v>#REF!</v>
      </c>
    </row>
    <row r="23" spans="1:6" ht="15.5" x14ac:dyDescent="0.35">
      <c r="A23" s="103" t="s">
        <v>99</v>
      </c>
      <c r="B23" s="1" t="s">
        <v>86</v>
      </c>
      <c r="D23" s="104" t="e">
        <f t="shared" si="1"/>
        <v>#REF!</v>
      </c>
      <c r="E23" s="106" t="e">
        <f t="shared" si="1"/>
        <v>#REF!</v>
      </c>
      <c r="F23" s="98" t="e">
        <f t="shared" si="1"/>
        <v>#REF!</v>
      </c>
    </row>
    <row r="24" spans="1:6" ht="15.5" x14ac:dyDescent="0.35">
      <c r="A24" s="103" t="s">
        <v>100</v>
      </c>
      <c r="B24" s="1" t="s">
        <v>88</v>
      </c>
      <c r="D24" s="104" t="e">
        <f t="shared" si="1"/>
        <v>#REF!</v>
      </c>
      <c r="E24" s="106" t="e">
        <f t="shared" si="1"/>
        <v>#REF!</v>
      </c>
      <c r="F24" s="98" t="e">
        <f t="shared" si="1"/>
        <v>#REF!</v>
      </c>
    </row>
    <row r="25" spans="1:6" ht="15.5" x14ac:dyDescent="0.35">
      <c r="A25" s="103" t="s">
        <v>101</v>
      </c>
      <c r="B25" s="1" t="s">
        <v>90</v>
      </c>
      <c r="D25" s="112" t="e">
        <f t="shared" si="1"/>
        <v>#REF!</v>
      </c>
      <c r="E25" s="106" t="e">
        <f t="shared" si="1"/>
        <v>#REF!</v>
      </c>
      <c r="F25" s="98" t="e">
        <f t="shared" si="1"/>
        <v>#REF!</v>
      </c>
    </row>
    <row r="26" spans="1:6" ht="15.5" x14ac:dyDescent="0.35">
      <c r="A26" s="103" t="s">
        <v>102</v>
      </c>
      <c r="B26" s="1" t="s">
        <v>92</v>
      </c>
      <c r="D26" s="112" t="e">
        <f t="shared" si="1"/>
        <v>#REF!</v>
      </c>
      <c r="E26" s="106" t="e">
        <f t="shared" si="1"/>
        <v>#REF!</v>
      </c>
      <c r="F26" s="98" t="e">
        <f t="shared" si="1"/>
        <v>#REF!</v>
      </c>
    </row>
    <row r="27" spans="1:6" ht="15.5" x14ac:dyDescent="0.35">
      <c r="A27" s="103" t="s">
        <v>102</v>
      </c>
      <c r="B27" s="1" t="s">
        <v>92</v>
      </c>
      <c r="D27" s="111" t="e">
        <f t="shared" si="1"/>
        <v>#REF!</v>
      </c>
      <c r="E27" s="106" t="e">
        <f t="shared" si="1"/>
        <v>#REF!</v>
      </c>
      <c r="F27" s="98" t="e">
        <f t="shared" si="1"/>
        <v>#REF!</v>
      </c>
    </row>
    <row r="28" spans="1:6" ht="15.5" x14ac:dyDescent="0.35">
      <c r="A28" s="103" t="s">
        <v>93</v>
      </c>
      <c r="B28" s="1" t="s">
        <v>94</v>
      </c>
      <c r="D28" s="113" t="e">
        <f t="shared" si="1"/>
        <v>#REF!</v>
      </c>
      <c r="E28" s="106" t="e">
        <f t="shared" si="1"/>
        <v>#REF!</v>
      </c>
      <c r="F28" s="98" t="e">
        <f t="shared" si="1"/>
        <v>#REF!</v>
      </c>
    </row>
    <row r="29" spans="1:6" ht="15.5" x14ac:dyDescent="0.35">
      <c r="A29" s="103" t="s">
        <v>95</v>
      </c>
      <c r="B29" s="1" t="s">
        <v>96</v>
      </c>
      <c r="D29" s="114" t="e">
        <f t="shared" si="1"/>
        <v>#REF!</v>
      </c>
      <c r="E29" s="107" t="e">
        <f t="shared" si="1"/>
        <v>#REF!</v>
      </c>
      <c r="F29" s="99" t="e">
        <f t="shared" si="1"/>
        <v>#REF!</v>
      </c>
    </row>
    <row r="32" spans="1:6" x14ac:dyDescent="0.3">
      <c r="D32">
        <v>8237</v>
      </c>
      <c r="E32">
        <v>8009</v>
      </c>
      <c r="F32">
        <v>8513</v>
      </c>
    </row>
    <row r="33" spans="4:6" x14ac:dyDescent="0.3">
      <c r="D33">
        <v>8853</v>
      </c>
      <c r="E33">
        <v>8607</v>
      </c>
      <c r="F33">
        <v>9150</v>
      </c>
    </row>
    <row r="34" spans="4:6" x14ac:dyDescent="0.3">
      <c r="D34">
        <v>95827</v>
      </c>
      <c r="E34">
        <v>93170</v>
      </c>
      <c r="F34">
        <v>99040</v>
      </c>
    </row>
    <row r="35" spans="4:6" x14ac:dyDescent="0.3">
      <c r="D35">
        <v>128482</v>
      </c>
      <c r="E35">
        <v>124920</v>
      </c>
      <c r="F35">
        <v>132790</v>
      </c>
    </row>
    <row r="36" spans="4:6" x14ac:dyDescent="0.3">
      <c r="D36">
        <v>37727</v>
      </c>
      <c r="E36">
        <v>36681</v>
      </c>
      <c r="F36">
        <v>38992</v>
      </c>
    </row>
    <row r="37" spans="4:6" x14ac:dyDescent="0.3">
      <c r="D37">
        <v>2404</v>
      </c>
      <c r="E37">
        <v>2337</v>
      </c>
      <c r="F37">
        <v>2484</v>
      </c>
    </row>
    <row r="38" spans="4:6" x14ac:dyDescent="0.3">
      <c r="D38">
        <v>11608</v>
      </c>
      <c r="E38">
        <v>11286</v>
      </c>
      <c r="F38">
        <v>11997</v>
      </c>
    </row>
  </sheetData>
  <phoneticPr fontId="0" type="noConversion"/>
  <pageMargins left="0.74803149606299213" right="0.74803149606299213" top="0.98425196850393704" bottom="0.98425196850393704" header="0.51181102362204722" footer="0.51181102362204722"/>
  <pageSetup paperSize="9" scale="75" orientation="portrait" r:id="rId1"/>
  <headerFooter alignWithMargins="0"/>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Q403"/>
  <sheetViews>
    <sheetView workbookViewId="0"/>
  </sheetViews>
  <sheetFormatPr defaultColWidth="9.296875" defaultRowHeight="13" x14ac:dyDescent="0.3"/>
  <cols>
    <col min="1" max="1" width="30.19921875" customWidth="1"/>
    <col min="2" max="2" width="30.796875" customWidth="1"/>
    <col min="3" max="3" width="36.296875" customWidth="1"/>
    <col min="4" max="4" width="12.5" style="116" hidden="1" customWidth="1"/>
    <col min="5" max="5" width="17.5" style="116" hidden="1" customWidth="1"/>
    <col min="6" max="6" width="16.796875" style="116" customWidth="1"/>
    <col min="7" max="7" width="10.5" style="116" hidden="1" customWidth="1"/>
    <col min="8" max="8" width="0" style="116" hidden="1" customWidth="1"/>
    <col min="9" max="18" width="0" hidden="1" customWidth="1"/>
  </cols>
  <sheetData>
    <row r="1" spans="1:17" ht="35" x14ac:dyDescent="0.7">
      <c r="A1" s="115" t="s">
        <v>2155</v>
      </c>
    </row>
    <row r="3" spans="1:17" x14ac:dyDescent="0.3">
      <c r="D3" s="117"/>
      <c r="E3" s="117"/>
      <c r="F3" s="117"/>
      <c r="G3" s="117"/>
      <c r="H3" s="117"/>
      <c r="I3" s="45"/>
      <c r="O3" s="118"/>
      <c r="P3" s="119"/>
      <c r="Q3" s="119"/>
    </row>
    <row r="4" spans="1:17" x14ac:dyDescent="0.3">
      <c r="C4" s="120" t="s">
        <v>2156</v>
      </c>
      <c r="D4" s="117">
        <f>SUMIF($C$10:$C$399,$C4,$D$10:$D$399)</f>
        <v>1055001</v>
      </c>
      <c r="E4" s="117">
        <f>SUMIF($C$10:$C$399,$C4,$E$10:$E$399)</f>
        <v>1038349</v>
      </c>
      <c r="F4" s="117" t="e">
        <f>SUMIF($C$10:$C$399,$C4,$F$10:$F$399)</f>
        <v>#VALUE!</v>
      </c>
      <c r="G4" s="117" t="e">
        <f>F4-D4</f>
        <v>#VALUE!</v>
      </c>
      <c r="H4" s="117" t="e">
        <f>F4-E4</f>
        <v>#VALUE!</v>
      </c>
      <c r="I4" s="45"/>
      <c r="O4" s="118"/>
      <c r="P4" s="119"/>
      <c r="Q4" s="119"/>
    </row>
    <row r="5" spans="1:17" x14ac:dyDescent="0.3">
      <c r="C5" s="120" t="s">
        <v>50</v>
      </c>
      <c r="D5" s="117">
        <v>-1017488</v>
      </c>
      <c r="E5" s="117">
        <f>D5</f>
        <v>-1017488</v>
      </c>
      <c r="F5" s="117" t="e">
        <v>#VALUE!</v>
      </c>
      <c r="G5" s="117" t="e">
        <f>F5-D5</f>
        <v>#VALUE!</v>
      </c>
      <c r="H5" s="117" t="e">
        <f>F5-E5</f>
        <v>#VALUE!</v>
      </c>
      <c r="I5" s="45"/>
      <c r="O5" s="118"/>
      <c r="P5" s="119"/>
      <c r="Q5" s="119"/>
    </row>
    <row r="6" spans="1:17" x14ac:dyDescent="0.3">
      <c r="C6" s="121"/>
      <c r="D6" s="122">
        <f>SUM(D4:D5)</f>
        <v>37513</v>
      </c>
      <c r="E6" s="122">
        <f>SUM(E4:E5)</f>
        <v>20861</v>
      </c>
      <c r="F6" s="122" t="e">
        <f>SUM(F4:F5)</f>
        <v>#VALUE!</v>
      </c>
      <c r="G6" s="122" t="e">
        <f>SUM(G4:G5)</f>
        <v>#VALUE!</v>
      </c>
      <c r="H6" s="122" t="e">
        <f>SUM(H4:H5)</f>
        <v>#VALUE!</v>
      </c>
      <c r="I6" s="123"/>
      <c r="O6" s="118"/>
      <c r="P6" s="119"/>
      <c r="Q6" s="119"/>
    </row>
    <row r="7" spans="1:17" x14ac:dyDescent="0.3">
      <c r="D7" s="117"/>
      <c r="E7" s="117"/>
      <c r="F7" s="117"/>
      <c r="G7" s="117"/>
      <c r="H7" s="117"/>
      <c r="I7" s="45"/>
      <c r="O7" s="118"/>
      <c r="P7" s="119"/>
      <c r="Q7" s="119"/>
    </row>
    <row r="8" spans="1:17" x14ac:dyDescent="0.3">
      <c r="D8" s="117"/>
      <c r="E8" s="117"/>
      <c r="F8" s="117"/>
      <c r="G8" s="117"/>
      <c r="H8" s="117"/>
      <c r="I8" s="45"/>
      <c r="O8" s="118"/>
      <c r="P8" s="119"/>
      <c r="Q8" s="119"/>
    </row>
    <row r="9" spans="1:17" s="17" customFormat="1" ht="60" x14ac:dyDescent="0.3">
      <c r="A9" s="124" t="s">
        <v>2157</v>
      </c>
      <c r="B9" s="124" t="s">
        <v>2158</v>
      </c>
      <c r="C9" s="124" t="s">
        <v>274</v>
      </c>
      <c r="D9" s="125" t="s">
        <v>2159</v>
      </c>
      <c r="E9" s="125" t="s">
        <v>2160</v>
      </c>
      <c r="F9" s="125" t="s">
        <v>39</v>
      </c>
      <c r="G9" s="125" t="s">
        <v>2161</v>
      </c>
      <c r="H9" s="125" t="s">
        <v>2162</v>
      </c>
      <c r="I9" s="126" t="s">
        <v>2163</v>
      </c>
      <c r="J9" s="124"/>
      <c r="K9" s="124"/>
      <c r="L9" s="124"/>
      <c r="M9" s="124"/>
      <c r="N9" s="124"/>
      <c r="O9" s="124"/>
      <c r="P9" s="124"/>
      <c r="Q9" s="124"/>
    </row>
    <row r="10" spans="1:17" x14ac:dyDescent="0.3">
      <c r="A10" t="s">
        <v>43</v>
      </c>
      <c r="B10" t="s">
        <v>53</v>
      </c>
      <c r="C10" t="s">
        <v>886</v>
      </c>
      <c r="D10" s="117"/>
      <c r="E10" s="117"/>
      <c r="F10" s="117" t="e">
        <v>#VALUE!</v>
      </c>
      <c r="G10" s="117" t="e">
        <f>F10-D10</f>
        <v>#VALUE!</v>
      </c>
      <c r="H10" s="117" t="e">
        <f>F10-E10</f>
        <v>#VALUE!</v>
      </c>
      <c r="I10" s="45"/>
      <c r="J10" s="127"/>
      <c r="O10" s="128">
        <v>1330</v>
      </c>
      <c r="P10" s="129" t="e">
        <f>F10-O10</f>
        <v>#VALUE!</v>
      </c>
      <c r="Q10" s="130" t="e">
        <f>P10/O10</f>
        <v>#VALUE!</v>
      </c>
    </row>
    <row r="11" spans="1:17" x14ac:dyDescent="0.3">
      <c r="A11" t="s">
        <v>43</v>
      </c>
      <c r="B11" t="s">
        <v>53</v>
      </c>
      <c r="C11" t="s">
        <v>816</v>
      </c>
      <c r="D11" s="117"/>
      <c r="E11" s="117"/>
      <c r="F11" s="117" t="e">
        <v>#VALUE!</v>
      </c>
      <c r="G11" s="117" t="e">
        <f>F11-D11</f>
        <v>#VALUE!</v>
      </c>
      <c r="H11" s="117" t="e">
        <f>F11-E11</f>
        <v>#VALUE!</v>
      </c>
      <c r="I11" s="45"/>
      <c r="J11" s="127"/>
      <c r="O11" s="128">
        <v>135</v>
      </c>
      <c r="P11" s="129" t="e">
        <f>F11-O11</f>
        <v>#VALUE!</v>
      </c>
      <c r="Q11" s="130" t="e">
        <f>P11/O11</f>
        <v>#VALUE!</v>
      </c>
    </row>
    <row r="12" spans="1:17" x14ac:dyDescent="0.3">
      <c r="A12" t="s">
        <v>43</v>
      </c>
      <c r="B12" t="s">
        <v>53</v>
      </c>
      <c r="C12" t="s">
        <v>817</v>
      </c>
      <c r="D12" s="117"/>
      <c r="E12" s="117"/>
      <c r="F12" s="117" t="e">
        <v>#VALUE!</v>
      </c>
      <c r="G12" s="117" t="e">
        <f>F12-D12</f>
        <v>#VALUE!</v>
      </c>
      <c r="H12" s="117" t="e">
        <f>F12-E12</f>
        <v>#VALUE!</v>
      </c>
      <c r="I12" s="45"/>
      <c r="J12" s="127"/>
      <c r="O12" s="128">
        <v>160</v>
      </c>
      <c r="P12" s="129" t="e">
        <f>F12-O12</f>
        <v>#VALUE!</v>
      </c>
      <c r="Q12" s="130" t="e">
        <f>P12/O12</f>
        <v>#VALUE!</v>
      </c>
    </row>
    <row r="13" spans="1:17" x14ac:dyDescent="0.3">
      <c r="A13" t="s">
        <v>43</v>
      </c>
      <c r="B13" t="s">
        <v>53</v>
      </c>
      <c r="C13" s="121" t="s">
        <v>2164</v>
      </c>
      <c r="D13" s="122">
        <f>SUM(D10:D12)</f>
        <v>0</v>
      </c>
      <c r="E13" s="122">
        <f>SUM(E10:E12)</f>
        <v>0</v>
      </c>
      <c r="F13" s="122" t="e">
        <f>SUM(F10:F12)</f>
        <v>#VALUE!</v>
      </c>
      <c r="G13" s="122" t="e">
        <f>SUM(G10:G12)</f>
        <v>#VALUE!</v>
      </c>
      <c r="H13" s="122" t="e">
        <f>SUM(H10:H12)</f>
        <v>#VALUE!</v>
      </c>
      <c r="I13" s="123"/>
      <c r="J13" s="127"/>
      <c r="O13" s="131">
        <v>1625</v>
      </c>
      <c r="P13" s="129" t="e">
        <f>F13-O13</f>
        <v>#VALUE!</v>
      </c>
      <c r="Q13" s="130" t="e">
        <f>P13/O13</f>
        <v>#VALUE!</v>
      </c>
    </row>
    <row r="14" spans="1:17" x14ac:dyDescent="0.3">
      <c r="C14" s="121"/>
      <c r="D14" s="122"/>
      <c r="E14" s="122"/>
      <c r="F14" s="122"/>
      <c r="G14" s="122"/>
      <c r="H14" s="122"/>
      <c r="I14" s="123"/>
      <c r="J14" s="127"/>
      <c r="O14" s="131"/>
      <c r="P14" s="119"/>
      <c r="Q14" s="119"/>
    </row>
    <row r="15" spans="1:17" x14ac:dyDescent="0.3">
      <c r="A15" t="s">
        <v>43</v>
      </c>
      <c r="B15" t="s">
        <v>755</v>
      </c>
      <c r="C15" t="s">
        <v>342</v>
      </c>
      <c r="D15" s="117">
        <v>1210</v>
      </c>
      <c r="E15" s="117">
        <f>D15</f>
        <v>1210</v>
      </c>
      <c r="F15" s="117" t="e">
        <v>#VALUE!</v>
      </c>
      <c r="G15" s="117" t="e">
        <f>F15-D15</f>
        <v>#VALUE!</v>
      </c>
      <c r="H15" s="117" t="e">
        <f>F15-E15</f>
        <v>#VALUE!</v>
      </c>
      <c r="I15" s="45"/>
      <c r="J15" s="127"/>
      <c r="O15" s="128">
        <v>449.18</v>
      </c>
      <c r="P15" s="129" t="e">
        <f>F15-O15</f>
        <v>#VALUE!</v>
      </c>
      <c r="Q15" s="130" t="e">
        <f>P15/O15</f>
        <v>#VALUE!</v>
      </c>
    </row>
    <row r="16" spans="1:17" x14ac:dyDescent="0.3">
      <c r="A16" t="s">
        <v>43</v>
      </c>
      <c r="B16" t="s">
        <v>755</v>
      </c>
      <c r="C16" t="s">
        <v>343</v>
      </c>
      <c r="D16" s="117">
        <v>1065</v>
      </c>
      <c r="E16" s="117">
        <f>D16</f>
        <v>1065</v>
      </c>
      <c r="F16" s="117" t="e">
        <v>#VALUE!</v>
      </c>
      <c r="G16" s="117" t="e">
        <f>F16-D16</f>
        <v>#VALUE!</v>
      </c>
      <c r="H16" s="117" t="e">
        <f>F16-E16</f>
        <v>#VALUE!</v>
      </c>
      <c r="I16" s="45"/>
      <c r="J16" s="127"/>
      <c r="O16" s="128">
        <v>800</v>
      </c>
      <c r="P16" s="129" t="e">
        <f>F16-O16</f>
        <v>#VALUE!</v>
      </c>
      <c r="Q16" s="130" t="e">
        <f>P16/O16</f>
        <v>#VALUE!</v>
      </c>
    </row>
    <row r="17" spans="1:17" x14ac:dyDescent="0.3">
      <c r="C17" s="121" t="s">
        <v>2165</v>
      </c>
      <c r="D17" s="122">
        <f>SUM(D15:D16)</f>
        <v>2275</v>
      </c>
      <c r="E17" s="122">
        <f>SUM(E15:E16)</f>
        <v>2275</v>
      </c>
      <c r="F17" s="122" t="e">
        <f>SUM(F15:F16)</f>
        <v>#VALUE!</v>
      </c>
      <c r="G17" s="122" t="e">
        <f>SUM(G15:G16)</f>
        <v>#VALUE!</v>
      </c>
      <c r="H17" s="122" t="e">
        <f>SUM(H15:H16)</f>
        <v>#VALUE!</v>
      </c>
      <c r="I17" s="123"/>
      <c r="J17" s="127"/>
      <c r="O17" s="131">
        <v>1249.18</v>
      </c>
      <c r="P17" s="129" t="e">
        <f>F17-O17</f>
        <v>#VALUE!</v>
      </c>
      <c r="Q17" s="130" t="e">
        <f>P17/O17</f>
        <v>#VALUE!</v>
      </c>
    </row>
    <row r="18" spans="1:17" x14ac:dyDescent="0.3">
      <c r="C18" s="121"/>
      <c r="D18" s="122"/>
      <c r="E18" s="122"/>
      <c r="F18" s="122"/>
      <c r="G18" s="122"/>
      <c r="H18" s="122"/>
      <c r="I18" s="123"/>
      <c r="J18" s="127"/>
      <c r="O18" s="131"/>
      <c r="P18" s="119"/>
      <c r="Q18" s="119"/>
    </row>
    <row r="19" spans="1:17" x14ac:dyDescent="0.3">
      <c r="A19" t="s">
        <v>43</v>
      </c>
      <c r="B19" t="s">
        <v>756</v>
      </c>
      <c r="C19" t="s">
        <v>906</v>
      </c>
      <c r="D19" s="117"/>
      <c r="E19" s="117"/>
      <c r="F19" s="117" t="e">
        <v>#VALUE!</v>
      </c>
      <c r="G19" s="117" t="e">
        <f>F19-D19</f>
        <v>#VALUE!</v>
      </c>
      <c r="H19" s="117" t="e">
        <f>F19-E19</f>
        <v>#VALUE!</v>
      </c>
      <c r="I19" s="45"/>
      <c r="J19" s="127"/>
      <c r="O19" s="128">
        <v>550.70000000000005</v>
      </c>
      <c r="P19" s="129" t="e">
        <f>F19-O19</f>
        <v>#VALUE!</v>
      </c>
      <c r="Q19" s="130" t="e">
        <f>P19/O19</f>
        <v>#VALUE!</v>
      </c>
    </row>
    <row r="20" spans="1:17" x14ac:dyDescent="0.3">
      <c r="A20" t="s">
        <v>43</v>
      </c>
      <c r="B20" t="s">
        <v>756</v>
      </c>
      <c r="C20" t="s">
        <v>2166</v>
      </c>
      <c r="D20" s="117">
        <v>1943</v>
      </c>
      <c r="E20" s="117">
        <f>D20</f>
        <v>1943</v>
      </c>
      <c r="F20" s="117" t="e">
        <v>#VALUE!</v>
      </c>
      <c r="G20" s="117" t="e">
        <f>F20-D20</f>
        <v>#VALUE!</v>
      </c>
      <c r="H20" s="117" t="e">
        <f>F20-E20</f>
        <v>#VALUE!</v>
      </c>
      <c r="I20" s="45"/>
      <c r="J20" s="127"/>
      <c r="O20" s="128">
        <v>127.23</v>
      </c>
      <c r="P20" s="129" t="e">
        <f>F20-O20</f>
        <v>#VALUE!</v>
      </c>
      <c r="Q20" s="130" t="e">
        <f>P20/O20</f>
        <v>#VALUE!</v>
      </c>
    </row>
    <row r="21" spans="1:17" x14ac:dyDescent="0.3">
      <c r="C21" s="121" t="s">
        <v>2167</v>
      </c>
      <c r="D21" s="122">
        <f>SUM(D20)</f>
        <v>1943</v>
      </c>
      <c r="E21" s="122">
        <f>SUM(E20)</f>
        <v>1943</v>
      </c>
      <c r="F21" s="122" t="e">
        <f>SUM(F19:F20)</f>
        <v>#VALUE!</v>
      </c>
      <c r="G21" s="122" t="e">
        <f>SUM(G19:G20)</f>
        <v>#VALUE!</v>
      </c>
      <c r="H21" s="122" t="e">
        <f>SUM(H19:H20)</f>
        <v>#VALUE!</v>
      </c>
      <c r="I21" s="123"/>
      <c r="J21" s="127"/>
      <c r="O21" s="131">
        <v>677.93</v>
      </c>
      <c r="P21" s="129" t="e">
        <f>F21-O21</f>
        <v>#VALUE!</v>
      </c>
      <c r="Q21" s="130" t="e">
        <f>P21/O21</f>
        <v>#VALUE!</v>
      </c>
    </row>
    <row r="22" spans="1:17" x14ac:dyDescent="0.3">
      <c r="D22" s="117"/>
      <c r="E22" s="117"/>
      <c r="F22" s="117"/>
      <c r="G22" s="117"/>
      <c r="H22" s="117"/>
      <c r="I22" s="45"/>
      <c r="J22" s="127"/>
      <c r="O22" s="128"/>
      <c r="P22" s="119"/>
      <c r="Q22" s="119"/>
    </row>
    <row r="23" spans="1:17" x14ac:dyDescent="0.3">
      <c r="A23" t="s">
        <v>43</v>
      </c>
      <c r="B23" t="s">
        <v>757</v>
      </c>
      <c r="C23" t="s">
        <v>351</v>
      </c>
      <c r="D23" s="117">
        <v>856</v>
      </c>
      <c r="E23" s="117">
        <f t="shared" ref="E23:E29" si="0">D23</f>
        <v>856</v>
      </c>
      <c r="F23" s="117" t="e">
        <v>#VALUE!</v>
      </c>
      <c r="G23" s="117" t="e">
        <f t="shared" ref="G23:G29" si="1">F23-D23</f>
        <v>#VALUE!</v>
      </c>
      <c r="H23" s="117" t="e">
        <f t="shared" ref="H23:H29" si="2">F23-E23</f>
        <v>#VALUE!</v>
      </c>
      <c r="I23" s="45"/>
      <c r="J23" s="127"/>
      <c r="O23" s="128">
        <v>2552.4</v>
      </c>
      <c r="P23" s="129" t="e">
        <f t="shared" ref="P23:P30" si="3">F23-O23</f>
        <v>#VALUE!</v>
      </c>
      <c r="Q23" s="130" t="e">
        <f t="shared" ref="Q23:Q30" si="4">P23/O23</f>
        <v>#VALUE!</v>
      </c>
    </row>
    <row r="24" spans="1:17" x14ac:dyDescent="0.3">
      <c r="A24" t="s">
        <v>43</v>
      </c>
      <c r="B24" t="s">
        <v>757</v>
      </c>
      <c r="C24" t="s">
        <v>945</v>
      </c>
      <c r="D24" s="117">
        <v>800</v>
      </c>
      <c r="E24" s="117">
        <f t="shared" si="0"/>
        <v>800</v>
      </c>
      <c r="F24" s="117" t="e">
        <v>#VALUE!</v>
      </c>
      <c r="G24" s="117" t="e">
        <f t="shared" si="1"/>
        <v>#VALUE!</v>
      </c>
      <c r="H24" s="117" t="e">
        <f t="shared" si="2"/>
        <v>#VALUE!</v>
      </c>
      <c r="I24" s="45"/>
      <c r="J24" s="127"/>
      <c r="O24" s="128">
        <v>437.73</v>
      </c>
      <c r="P24" s="129" t="e">
        <f t="shared" si="3"/>
        <v>#VALUE!</v>
      </c>
      <c r="Q24" s="130" t="e">
        <f t="shared" si="4"/>
        <v>#VALUE!</v>
      </c>
    </row>
    <row r="25" spans="1:17" x14ac:dyDescent="0.3">
      <c r="A25" t="s">
        <v>43</v>
      </c>
      <c r="B25" t="s">
        <v>757</v>
      </c>
      <c r="C25" t="s">
        <v>939</v>
      </c>
      <c r="D25" s="117">
        <v>300</v>
      </c>
      <c r="E25" s="117">
        <f t="shared" si="0"/>
        <v>300</v>
      </c>
      <c r="F25" s="117" t="e">
        <v>#VALUE!</v>
      </c>
      <c r="G25" s="117" t="e">
        <f t="shared" si="1"/>
        <v>#VALUE!</v>
      </c>
      <c r="H25" s="117" t="e">
        <f t="shared" si="2"/>
        <v>#VALUE!</v>
      </c>
      <c r="I25" s="45"/>
      <c r="J25" s="127"/>
      <c r="O25" s="128">
        <v>424.1</v>
      </c>
      <c r="P25" s="129" t="e">
        <f t="shared" si="3"/>
        <v>#VALUE!</v>
      </c>
      <c r="Q25" s="130" t="e">
        <f t="shared" si="4"/>
        <v>#VALUE!</v>
      </c>
    </row>
    <row r="26" spans="1:17" x14ac:dyDescent="0.3">
      <c r="A26" t="s">
        <v>43</v>
      </c>
      <c r="B26" t="s">
        <v>757</v>
      </c>
      <c r="C26" t="s">
        <v>956</v>
      </c>
      <c r="D26" s="117">
        <v>0</v>
      </c>
      <c r="E26" s="117">
        <f t="shared" si="0"/>
        <v>0</v>
      </c>
      <c r="F26" s="117" t="e">
        <v>#VALUE!</v>
      </c>
      <c r="G26" s="117" t="e">
        <f t="shared" si="1"/>
        <v>#VALUE!</v>
      </c>
      <c r="H26" s="117" t="e">
        <f t="shared" si="2"/>
        <v>#VALUE!</v>
      </c>
      <c r="I26" s="45"/>
      <c r="J26" s="127"/>
      <c r="O26" s="128"/>
      <c r="P26" s="129"/>
      <c r="Q26" s="130"/>
    </row>
    <row r="27" spans="1:17" x14ac:dyDescent="0.3">
      <c r="A27" t="s">
        <v>43</v>
      </c>
      <c r="B27" t="s">
        <v>757</v>
      </c>
      <c r="C27" t="s">
        <v>950</v>
      </c>
      <c r="D27" s="117">
        <v>0</v>
      </c>
      <c r="E27" s="117">
        <f t="shared" si="0"/>
        <v>0</v>
      </c>
      <c r="F27" s="117" t="e">
        <v>#VALUE!</v>
      </c>
      <c r="G27" s="117" t="e">
        <f t="shared" si="1"/>
        <v>#VALUE!</v>
      </c>
      <c r="H27" s="117" t="e">
        <f t="shared" si="2"/>
        <v>#VALUE!</v>
      </c>
      <c r="I27" s="45"/>
      <c r="J27" s="127"/>
      <c r="O27" s="128"/>
      <c r="P27" s="129"/>
      <c r="Q27" s="130"/>
    </row>
    <row r="28" spans="1:17" x14ac:dyDescent="0.3">
      <c r="A28" t="s">
        <v>43</v>
      </c>
      <c r="B28" t="s">
        <v>757</v>
      </c>
      <c r="C28" t="s">
        <v>954</v>
      </c>
      <c r="D28" s="117">
        <v>31</v>
      </c>
      <c r="E28" s="117">
        <f t="shared" si="0"/>
        <v>31</v>
      </c>
      <c r="F28" s="117" t="e">
        <v>#VALUE!</v>
      </c>
      <c r="G28" s="117" t="e">
        <f t="shared" si="1"/>
        <v>#VALUE!</v>
      </c>
      <c r="H28" s="117" t="e">
        <f t="shared" si="2"/>
        <v>#VALUE!</v>
      </c>
      <c r="I28" s="45"/>
      <c r="J28" s="127"/>
      <c r="O28" s="128">
        <v>0</v>
      </c>
      <c r="P28" s="129" t="e">
        <f t="shared" si="3"/>
        <v>#VALUE!</v>
      </c>
      <c r="Q28" s="130" t="e">
        <f t="shared" si="4"/>
        <v>#VALUE!</v>
      </c>
    </row>
    <row r="29" spans="1:17" x14ac:dyDescent="0.3">
      <c r="A29" t="s">
        <v>43</v>
      </c>
      <c r="B29" t="s">
        <v>757</v>
      </c>
      <c r="C29" t="s">
        <v>348</v>
      </c>
      <c r="D29" s="117">
        <v>62</v>
      </c>
      <c r="E29" s="117">
        <f t="shared" si="0"/>
        <v>62</v>
      </c>
      <c r="F29" s="117" t="e">
        <v>#VALUE!</v>
      </c>
      <c r="G29" s="117" t="e">
        <f t="shared" si="1"/>
        <v>#VALUE!</v>
      </c>
      <c r="H29" s="117" t="e">
        <f t="shared" si="2"/>
        <v>#VALUE!</v>
      </c>
      <c r="I29" s="45"/>
      <c r="J29" s="127"/>
      <c r="O29" s="128">
        <v>50</v>
      </c>
      <c r="P29" s="129" t="e">
        <f t="shared" si="3"/>
        <v>#VALUE!</v>
      </c>
      <c r="Q29" s="130" t="e">
        <f t="shared" si="4"/>
        <v>#VALUE!</v>
      </c>
    </row>
    <row r="30" spans="1:17" x14ac:dyDescent="0.3">
      <c r="C30" s="121" t="s">
        <v>2168</v>
      </c>
      <c r="D30" s="122">
        <f>SUM(D23:D29)</f>
        <v>2049</v>
      </c>
      <c r="E30" s="122">
        <f>SUM(E23:E29)</f>
        <v>2049</v>
      </c>
      <c r="F30" s="122" t="e">
        <f>SUM(F23:F29)</f>
        <v>#VALUE!</v>
      </c>
      <c r="G30" s="122" t="e">
        <f>SUM(G23:G29)</f>
        <v>#VALUE!</v>
      </c>
      <c r="H30" s="122" t="e">
        <f>SUM(H23:H29)</f>
        <v>#VALUE!</v>
      </c>
      <c r="I30" s="123"/>
      <c r="J30" s="127"/>
      <c r="O30" s="131">
        <v>3619.23</v>
      </c>
      <c r="P30" s="129" t="e">
        <f t="shared" si="3"/>
        <v>#VALUE!</v>
      </c>
      <c r="Q30" s="130" t="e">
        <f t="shared" si="4"/>
        <v>#VALUE!</v>
      </c>
    </row>
    <row r="31" spans="1:17" x14ac:dyDescent="0.3">
      <c r="D31" s="117"/>
      <c r="E31" s="117"/>
      <c r="F31" s="117"/>
      <c r="G31" s="117"/>
      <c r="H31" s="117"/>
      <c r="I31" s="45"/>
      <c r="J31" s="127"/>
      <c r="O31" s="128"/>
      <c r="P31" s="119"/>
      <c r="Q31" s="119"/>
    </row>
    <row r="32" spans="1:17" x14ac:dyDescent="0.3">
      <c r="A32" t="s">
        <v>43</v>
      </c>
      <c r="B32" t="s">
        <v>781</v>
      </c>
      <c r="C32" t="s">
        <v>781</v>
      </c>
      <c r="D32" s="117">
        <v>0</v>
      </c>
      <c r="E32" s="117">
        <f>D32</f>
        <v>0</v>
      </c>
      <c r="F32" s="117" t="e">
        <v>#VALUE!</v>
      </c>
      <c r="G32" s="117" t="e">
        <f>F32-D32</f>
        <v>#VALUE!</v>
      </c>
      <c r="H32" s="117" t="e">
        <f>F32-E32</f>
        <v>#VALUE!</v>
      </c>
      <c r="I32" s="45"/>
      <c r="J32" s="127"/>
      <c r="O32" s="128">
        <v>0</v>
      </c>
      <c r="P32" s="129" t="e">
        <f>F32-O32</f>
        <v>#VALUE!</v>
      </c>
      <c r="Q32" s="130" t="e">
        <f>P32/O32</f>
        <v>#VALUE!</v>
      </c>
    </row>
    <row r="33" spans="1:17" x14ac:dyDescent="0.3">
      <c r="C33" s="121" t="s">
        <v>2169</v>
      </c>
      <c r="D33" s="122">
        <f>SUM(D32)</f>
        <v>0</v>
      </c>
      <c r="E33" s="122">
        <f>SUM(E32)</f>
        <v>0</v>
      </c>
      <c r="F33" s="122" t="e">
        <f>SUM(F32)</f>
        <v>#VALUE!</v>
      </c>
      <c r="G33" s="122" t="e">
        <f>SUM(G32)</f>
        <v>#VALUE!</v>
      </c>
      <c r="H33" s="122" t="e">
        <f>SUM(H32)</f>
        <v>#VALUE!</v>
      </c>
      <c r="I33" s="123"/>
      <c r="J33" s="127"/>
      <c r="O33" s="131">
        <v>0</v>
      </c>
      <c r="P33" s="129" t="e">
        <f>F33-O33</f>
        <v>#VALUE!</v>
      </c>
      <c r="Q33" s="130" t="e">
        <f>P33/O33</f>
        <v>#VALUE!</v>
      </c>
    </row>
    <row r="34" spans="1:17" x14ac:dyDescent="0.3">
      <c r="D34" s="117"/>
      <c r="E34" s="117"/>
      <c r="F34" s="117"/>
      <c r="G34" s="117"/>
      <c r="H34" s="117"/>
      <c r="I34" s="45"/>
      <c r="J34" s="127"/>
      <c r="O34" s="128"/>
      <c r="P34" s="119"/>
      <c r="Q34" s="119"/>
    </row>
    <row r="35" spans="1:17" x14ac:dyDescent="0.3">
      <c r="A35" t="s">
        <v>43</v>
      </c>
      <c r="B35" t="s">
        <v>782</v>
      </c>
      <c r="C35" t="s">
        <v>783</v>
      </c>
      <c r="D35" s="117">
        <v>5477</v>
      </c>
      <c r="E35" s="117">
        <v>5369</v>
      </c>
      <c r="F35" s="117" t="e">
        <v>#VALUE!</v>
      </c>
      <c r="G35" s="117" t="e">
        <f>F35-D35</f>
        <v>#VALUE!</v>
      </c>
      <c r="H35" s="117" t="e">
        <f>F35-E35</f>
        <v>#VALUE!</v>
      </c>
      <c r="I35" s="45"/>
      <c r="J35" s="127"/>
      <c r="O35" s="128">
        <v>5517.37</v>
      </c>
      <c r="P35" s="129" t="e">
        <f>F35-O35</f>
        <v>#VALUE!</v>
      </c>
      <c r="Q35" s="130" t="e">
        <f>P35/O35</f>
        <v>#VALUE!</v>
      </c>
    </row>
    <row r="36" spans="1:17" x14ac:dyDescent="0.3">
      <c r="A36" t="s">
        <v>43</v>
      </c>
      <c r="B36" t="s">
        <v>782</v>
      </c>
      <c r="C36" t="s">
        <v>784</v>
      </c>
      <c r="D36" s="117">
        <v>2047</v>
      </c>
      <c r="E36" s="117">
        <v>2449</v>
      </c>
      <c r="F36" s="117" t="e">
        <v>#VALUE!</v>
      </c>
      <c r="G36" s="117" t="e">
        <f>F36-D36</f>
        <v>#VALUE!</v>
      </c>
      <c r="H36" s="117" t="e">
        <f>F36-E36</f>
        <v>#VALUE!</v>
      </c>
      <c r="I36" s="45"/>
      <c r="J36" s="127"/>
      <c r="O36" s="128">
        <v>2388.16</v>
      </c>
      <c r="P36" s="129" t="e">
        <f>F36-O36</f>
        <v>#VALUE!</v>
      </c>
      <c r="Q36" s="130" t="e">
        <f>P36/O36</f>
        <v>#VALUE!</v>
      </c>
    </row>
    <row r="37" spans="1:17" x14ac:dyDescent="0.3">
      <c r="C37" s="121" t="s">
        <v>2170</v>
      </c>
      <c r="D37" s="122">
        <f>SUM(D35:D36)</f>
        <v>7524</v>
      </c>
      <c r="E37" s="122">
        <f>SUM(E35:E36)</f>
        <v>7818</v>
      </c>
      <c r="F37" s="122" t="e">
        <f>SUM(F35:F36)</f>
        <v>#VALUE!</v>
      </c>
      <c r="G37" s="122" t="e">
        <f>SUM(G35:G36)</f>
        <v>#VALUE!</v>
      </c>
      <c r="H37" s="122" t="e">
        <f>SUM(H35:H36)</f>
        <v>#VALUE!</v>
      </c>
      <c r="I37" s="123"/>
      <c r="J37" s="127"/>
      <c r="O37" s="131">
        <v>7905.53</v>
      </c>
      <c r="P37" s="129" t="e">
        <f>F37-O37</f>
        <v>#VALUE!</v>
      </c>
      <c r="Q37" s="130" t="e">
        <f>P37/O37</f>
        <v>#VALUE!</v>
      </c>
    </row>
    <row r="38" spans="1:17" x14ac:dyDescent="0.3">
      <c r="D38" s="117"/>
      <c r="E38" s="117"/>
      <c r="F38" s="117"/>
      <c r="G38" s="117"/>
      <c r="H38" s="117"/>
      <c r="I38" s="45"/>
      <c r="J38" s="127"/>
      <c r="O38" s="128"/>
      <c r="P38" s="119"/>
      <c r="Q38" s="119"/>
    </row>
    <row r="39" spans="1:17" x14ac:dyDescent="0.3">
      <c r="A39" t="s">
        <v>43</v>
      </c>
      <c r="B39" t="s">
        <v>2171</v>
      </c>
      <c r="C39" t="s">
        <v>877</v>
      </c>
      <c r="D39" s="117">
        <v>-4430</v>
      </c>
      <c r="E39" s="117">
        <f>D39</f>
        <v>-4430</v>
      </c>
      <c r="F39" s="117" t="e">
        <v>#VALUE!</v>
      </c>
      <c r="G39" s="117" t="e">
        <f>F39-D39</f>
        <v>#VALUE!</v>
      </c>
      <c r="H39" s="117" t="e">
        <f>F39-E39</f>
        <v>#VALUE!</v>
      </c>
      <c r="I39" s="45"/>
      <c r="J39" s="127"/>
      <c r="O39" s="128">
        <v>-3764.8</v>
      </c>
      <c r="P39" s="129" t="e">
        <f>F39-O39</f>
        <v>#VALUE!</v>
      </c>
      <c r="Q39" s="130" t="e">
        <f>P39/O39</f>
        <v>#VALUE!</v>
      </c>
    </row>
    <row r="40" spans="1:17" x14ac:dyDescent="0.3">
      <c r="A40" t="s">
        <v>43</v>
      </c>
      <c r="B40" t="s">
        <v>2171</v>
      </c>
      <c r="C40" t="s">
        <v>884</v>
      </c>
      <c r="D40" s="117">
        <v>-3</v>
      </c>
      <c r="E40" s="117">
        <f>D40</f>
        <v>-3</v>
      </c>
      <c r="F40" s="117" t="e">
        <v>#VALUE!</v>
      </c>
      <c r="G40" s="117" t="e">
        <f>F40-D40</f>
        <v>#VALUE!</v>
      </c>
      <c r="H40" s="117" t="e">
        <f>F40-E40</f>
        <v>#VALUE!</v>
      </c>
      <c r="I40" s="45"/>
      <c r="J40" s="127"/>
      <c r="O40" s="128">
        <v>-3.45</v>
      </c>
      <c r="P40" s="129" t="e">
        <f>F40-O40</f>
        <v>#VALUE!</v>
      </c>
      <c r="Q40" s="130" t="e">
        <f>P40/O40</f>
        <v>#VALUE!</v>
      </c>
    </row>
    <row r="41" spans="1:17" x14ac:dyDescent="0.3">
      <c r="C41" s="121" t="s">
        <v>2172</v>
      </c>
      <c r="D41" s="122">
        <f>SUM(D39:D40)</f>
        <v>-4433</v>
      </c>
      <c r="E41" s="122">
        <f>SUM(E39:E40)</f>
        <v>-4433</v>
      </c>
      <c r="F41" s="122" t="e">
        <f>SUM(F39:F40)</f>
        <v>#VALUE!</v>
      </c>
      <c r="G41" s="122" t="e">
        <f>SUM(G39:G40)</f>
        <v>#VALUE!</v>
      </c>
      <c r="H41" s="122" t="e">
        <f>SUM(H39:H40)</f>
        <v>#VALUE!</v>
      </c>
      <c r="I41" s="123"/>
      <c r="J41" s="127"/>
      <c r="O41" s="131">
        <v>-3768.25</v>
      </c>
      <c r="P41" s="129" t="e">
        <f>F41-O41</f>
        <v>#VALUE!</v>
      </c>
      <c r="Q41" s="130" t="e">
        <f>P41/O41</f>
        <v>#VALUE!</v>
      </c>
    </row>
    <row r="42" spans="1:17" x14ac:dyDescent="0.3">
      <c r="C42" s="121"/>
      <c r="D42" s="122"/>
      <c r="E42" s="122"/>
      <c r="F42" s="122"/>
      <c r="G42" s="122"/>
      <c r="H42" s="122"/>
      <c r="I42" s="123"/>
      <c r="J42" s="127"/>
      <c r="O42" s="131"/>
      <c r="P42" s="119"/>
      <c r="Q42" s="119"/>
    </row>
    <row r="43" spans="1:17" x14ac:dyDescent="0.3">
      <c r="C43" s="121" t="s">
        <v>2156</v>
      </c>
      <c r="D43" s="122">
        <f>+D41+D33+D30+D21+D17+D13+D37</f>
        <v>9358</v>
      </c>
      <c r="E43" s="122">
        <f>+E41+E33+E30+E21+E17+E13+E37</f>
        <v>9652</v>
      </c>
      <c r="F43" s="122" t="e">
        <f>+F41+F33+F30+F21+F17+F13+F37</f>
        <v>#VALUE!</v>
      </c>
      <c r="G43" s="122" t="e">
        <f>+G41+G33+G30+G21+G17+G13+G37</f>
        <v>#VALUE!</v>
      </c>
      <c r="H43" s="122" t="e">
        <f>+H41+H33+H30+H21+H17+H13+H37</f>
        <v>#VALUE!</v>
      </c>
      <c r="I43" s="123"/>
      <c r="J43" s="127"/>
      <c r="K43" s="127"/>
      <c r="L43" s="127"/>
      <c r="M43" s="127"/>
      <c r="O43" s="131">
        <v>11308.62</v>
      </c>
      <c r="P43" s="129" t="e">
        <f>F43-O43</f>
        <v>#VALUE!</v>
      </c>
      <c r="Q43" s="130" t="e">
        <f>P43/O43</f>
        <v>#VALUE!</v>
      </c>
    </row>
    <row r="44" spans="1:17" ht="30" x14ac:dyDescent="0.6">
      <c r="C44" s="121"/>
      <c r="D44" s="122"/>
      <c r="E44" s="132" t="e">
        <f>IF(F44="","","CHECK")</f>
        <v>#VALUE!</v>
      </c>
      <c r="F44" s="132" t="e">
        <v>#VALUE!</v>
      </c>
      <c r="G44" s="122"/>
      <c r="H44" s="122"/>
      <c r="I44" s="123"/>
      <c r="J44" s="127"/>
      <c r="K44" s="127"/>
      <c r="L44" s="127"/>
      <c r="M44" s="127"/>
      <c r="O44" s="131"/>
      <c r="P44" s="129"/>
      <c r="Q44" s="130"/>
    </row>
    <row r="45" spans="1:17" x14ac:dyDescent="0.3">
      <c r="A45" t="s">
        <v>88</v>
      </c>
      <c r="B45" t="s">
        <v>53</v>
      </c>
      <c r="C45" t="s">
        <v>886</v>
      </c>
      <c r="D45" s="117">
        <v>238815</v>
      </c>
      <c r="E45" s="117">
        <f>D45</f>
        <v>238815</v>
      </c>
      <c r="F45" s="117" t="e">
        <v>#VALUE!</v>
      </c>
      <c r="G45" s="117" t="e">
        <f>F45-D45</f>
        <v>#VALUE!</v>
      </c>
      <c r="H45" s="117" t="e">
        <f>F45-E45</f>
        <v>#VALUE!</v>
      </c>
      <c r="I45" s="45"/>
      <c r="J45" s="127"/>
      <c r="O45" s="128">
        <v>181537.64</v>
      </c>
      <c r="P45" s="129" t="e">
        <f>F45-O45</f>
        <v>#VALUE!</v>
      </c>
      <c r="Q45" s="130" t="e">
        <f>P45/O45</f>
        <v>#VALUE!</v>
      </c>
    </row>
    <row r="46" spans="1:17" x14ac:dyDescent="0.3">
      <c r="A46" t="s">
        <v>88</v>
      </c>
      <c r="B46" t="s">
        <v>53</v>
      </c>
      <c r="C46" t="s">
        <v>816</v>
      </c>
      <c r="D46" s="117">
        <v>20386</v>
      </c>
      <c r="E46" s="117">
        <v>13994</v>
      </c>
      <c r="F46" s="117" t="e">
        <v>#VALUE!</v>
      </c>
      <c r="G46" s="117" t="e">
        <f>F46-D46</f>
        <v>#VALUE!</v>
      </c>
      <c r="H46" s="117" t="e">
        <f>F46-E46</f>
        <v>#VALUE!</v>
      </c>
      <c r="I46" s="45"/>
      <c r="J46" s="127"/>
      <c r="O46" s="128">
        <v>11306.38</v>
      </c>
      <c r="P46" s="129" t="e">
        <f>F46-O46</f>
        <v>#VALUE!</v>
      </c>
      <c r="Q46" s="130" t="e">
        <f>P46/O46</f>
        <v>#VALUE!</v>
      </c>
    </row>
    <row r="47" spans="1:17" x14ac:dyDescent="0.3">
      <c r="A47" t="s">
        <v>88</v>
      </c>
      <c r="B47" t="s">
        <v>53</v>
      </c>
      <c r="C47" t="s">
        <v>817</v>
      </c>
      <c r="D47" s="117">
        <v>45529</v>
      </c>
      <c r="E47" s="117">
        <v>26438</v>
      </c>
      <c r="F47" s="117" t="e">
        <v>#VALUE!</v>
      </c>
      <c r="G47" s="117" t="e">
        <f>F47-D47</f>
        <v>#VALUE!</v>
      </c>
      <c r="H47" s="117" t="e">
        <f>F47-E47</f>
        <v>#VALUE!</v>
      </c>
      <c r="I47" s="45"/>
      <c r="J47" s="127"/>
      <c r="O47" s="128">
        <v>20314.32</v>
      </c>
      <c r="P47" s="129" t="e">
        <f>F47-O47</f>
        <v>#VALUE!</v>
      </c>
      <c r="Q47" s="130" t="e">
        <f>P47/O47</f>
        <v>#VALUE!</v>
      </c>
    </row>
    <row r="48" spans="1:17" x14ac:dyDescent="0.3">
      <c r="A48" t="s">
        <v>88</v>
      </c>
      <c r="B48" t="s">
        <v>53</v>
      </c>
      <c r="C48" t="s">
        <v>350</v>
      </c>
      <c r="D48" s="117">
        <v>3936</v>
      </c>
      <c r="E48" s="117">
        <f>D48</f>
        <v>3936</v>
      </c>
      <c r="F48" s="117" t="e">
        <v>#VALUE!</v>
      </c>
      <c r="G48" s="117" t="e">
        <f>F48-D48</f>
        <v>#VALUE!</v>
      </c>
      <c r="H48" s="117" t="e">
        <f>F48-E48</f>
        <v>#VALUE!</v>
      </c>
      <c r="I48" s="45"/>
      <c r="J48" s="127"/>
      <c r="O48" s="128">
        <v>765</v>
      </c>
      <c r="P48" s="129" t="e">
        <f>F48-O48</f>
        <v>#VALUE!</v>
      </c>
      <c r="Q48" s="130" t="e">
        <f>P48/O48</f>
        <v>#VALUE!</v>
      </c>
    </row>
    <row r="49" spans="1:17" x14ac:dyDescent="0.3">
      <c r="C49" s="121" t="s">
        <v>2164</v>
      </c>
      <c r="D49" s="122">
        <f>SUM(D45:D48)</f>
        <v>308666</v>
      </c>
      <c r="E49" s="122">
        <f>SUM(E45:E48)</f>
        <v>283183</v>
      </c>
      <c r="F49" s="122" t="e">
        <f>SUM(F45:F48)</f>
        <v>#VALUE!</v>
      </c>
      <c r="G49" s="122" t="e">
        <f>SUM(G45:G48)</f>
        <v>#VALUE!</v>
      </c>
      <c r="H49" s="122" t="e">
        <f>SUM(H45:H48)</f>
        <v>#VALUE!</v>
      </c>
      <c r="I49" s="123"/>
      <c r="J49" s="127"/>
      <c r="O49" s="131">
        <v>213923.34</v>
      </c>
      <c r="P49" s="129" t="e">
        <f>F49-O49</f>
        <v>#VALUE!</v>
      </c>
      <c r="Q49" s="130" t="e">
        <f>P49/O49</f>
        <v>#VALUE!</v>
      </c>
    </row>
    <row r="50" spans="1:17" x14ac:dyDescent="0.3">
      <c r="D50" s="117"/>
      <c r="E50" s="117"/>
      <c r="F50" s="117"/>
      <c r="G50" s="117"/>
      <c r="H50" s="117"/>
      <c r="I50" s="45"/>
      <c r="J50" s="127"/>
      <c r="O50" s="128"/>
      <c r="P50" s="119"/>
      <c r="Q50" s="119"/>
    </row>
    <row r="51" spans="1:17" x14ac:dyDescent="0.3">
      <c r="A51" t="s">
        <v>88</v>
      </c>
      <c r="B51" t="s">
        <v>755</v>
      </c>
      <c r="C51" t="s">
        <v>820</v>
      </c>
      <c r="D51" s="117">
        <v>4500</v>
      </c>
      <c r="E51" s="117">
        <f>D51</f>
        <v>4500</v>
      </c>
      <c r="F51" s="117" t="e">
        <v>#VALUE!</v>
      </c>
      <c r="G51" s="117" t="e">
        <f t="shared" ref="G51:G60" si="5">F51-D51</f>
        <v>#VALUE!</v>
      </c>
      <c r="H51" s="117" t="e">
        <f t="shared" ref="H51:H60" si="6">F51-E51</f>
        <v>#VALUE!</v>
      </c>
      <c r="I51" s="45"/>
      <c r="J51" s="127"/>
      <c r="O51" s="128">
        <v>2530.31</v>
      </c>
      <c r="P51" s="129" t="e">
        <f t="shared" ref="P51:P61" si="7">F51-O51</f>
        <v>#VALUE!</v>
      </c>
      <c r="Q51" s="130" t="e">
        <f t="shared" ref="Q51:Q61" si="8">P51/O51</f>
        <v>#VALUE!</v>
      </c>
    </row>
    <row r="52" spans="1:17" x14ac:dyDescent="0.3">
      <c r="A52" t="s">
        <v>88</v>
      </c>
      <c r="B52" t="s">
        <v>755</v>
      </c>
      <c r="C52" t="s">
        <v>2173</v>
      </c>
      <c r="D52" s="117">
        <v>5000</v>
      </c>
      <c r="E52" s="117"/>
      <c r="F52" s="117" t="e">
        <v>#VALUE!</v>
      </c>
      <c r="G52" s="117" t="e">
        <f>F52-D52</f>
        <v>#VALUE!</v>
      </c>
      <c r="H52" s="117" t="e">
        <f t="shared" si="6"/>
        <v>#VALUE!</v>
      </c>
      <c r="I52" s="45"/>
      <c r="J52" s="127"/>
      <c r="O52" s="128"/>
      <c r="P52" s="129"/>
      <c r="Q52" s="130"/>
    </row>
    <row r="53" spans="1:17" x14ac:dyDescent="0.3">
      <c r="A53" t="s">
        <v>88</v>
      </c>
      <c r="B53" t="s">
        <v>755</v>
      </c>
      <c r="C53" t="s">
        <v>341</v>
      </c>
      <c r="D53" s="117">
        <v>6820</v>
      </c>
      <c r="E53" s="117">
        <f>D53</f>
        <v>6820</v>
      </c>
      <c r="F53" s="117" t="e">
        <v>#VALUE!</v>
      </c>
      <c r="G53" s="117" t="e">
        <f t="shared" si="5"/>
        <v>#VALUE!</v>
      </c>
      <c r="H53" s="117" t="e">
        <f t="shared" si="6"/>
        <v>#VALUE!</v>
      </c>
      <c r="I53" s="45"/>
      <c r="J53" s="127"/>
      <c r="O53" s="128">
        <v>2999.51</v>
      </c>
      <c r="P53" s="129" t="e">
        <f t="shared" si="7"/>
        <v>#VALUE!</v>
      </c>
      <c r="Q53" s="130" t="e">
        <f t="shared" si="8"/>
        <v>#VALUE!</v>
      </c>
    </row>
    <row r="54" spans="1:17" x14ac:dyDescent="0.3">
      <c r="A54" t="s">
        <v>88</v>
      </c>
      <c r="B54" t="s">
        <v>755</v>
      </c>
      <c r="C54" t="s">
        <v>342</v>
      </c>
      <c r="D54" s="117">
        <v>12650</v>
      </c>
      <c r="E54" s="117">
        <f>D54</f>
        <v>12650</v>
      </c>
      <c r="F54" s="117" t="e">
        <v>#VALUE!</v>
      </c>
      <c r="G54" s="117" t="e">
        <f t="shared" si="5"/>
        <v>#VALUE!</v>
      </c>
      <c r="H54" s="117" t="e">
        <f t="shared" si="6"/>
        <v>#VALUE!</v>
      </c>
      <c r="I54" s="45"/>
      <c r="J54" s="127"/>
      <c r="O54" s="128">
        <v>9662.16</v>
      </c>
      <c r="P54" s="129" t="e">
        <f t="shared" si="7"/>
        <v>#VALUE!</v>
      </c>
      <c r="Q54" s="130" t="e">
        <f t="shared" si="8"/>
        <v>#VALUE!</v>
      </c>
    </row>
    <row r="55" spans="1:17" x14ac:dyDescent="0.3">
      <c r="A55" t="s">
        <v>88</v>
      </c>
      <c r="B55" t="s">
        <v>755</v>
      </c>
      <c r="C55" t="s">
        <v>343</v>
      </c>
      <c r="D55" s="117">
        <v>8816</v>
      </c>
      <c r="E55" s="117">
        <f>D55</f>
        <v>8816</v>
      </c>
      <c r="F55" s="117" t="e">
        <v>#VALUE!</v>
      </c>
      <c r="G55" s="117" t="e">
        <f t="shared" si="5"/>
        <v>#VALUE!</v>
      </c>
      <c r="H55" s="117" t="e">
        <f t="shared" si="6"/>
        <v>#VALUE!</v>
      </c>
      <c r="I55" s="45"/>
      <c r="J55" s="127"/>
      <c r="O55" s="128">
        <v>7374</v>
      </c>
      <c r="P55" s="129" t="e">
        <f t="shared" si="7"/>
        <v>#VALUE!</v>
      </c>
      <c r="Q55" s="130" t="e">
        <f t="shared" si="8"/>
        <v>#VALUE!</v>
      </c>
    </row>
    <row r="56" spans="1:17" x14ac:dyDescent="0.3">
      <c r="A56" t="s">
        <v>88</v>
      </c>
      <c r="B56" t="s">
        <v>755</v>
      </c>
      <c r="C56" t="s">
        <v>1197</v>
      </c>
      <c r="D56" s="117"/>
      <c r="E56" s="117"/>
      <c r="F56" s="117" t="e">
        <v>#VALUE!</v>
      </c>
      <c r="G56" s="117" t="e">
        <f t="shared" si="5"/>
        <v>#VALUE!</v>
      </c>
      <c r="H56" s="117" t="e">
        <f t="shared" si="6"/>
        <v>#VALUE!</v>
      </c>
      <c r="I56" s="45"/>
      <c r="J56" s="127"/>
      <c r="O56" s="128">
        <v>39.119999999999997</v>
      </c>
      <c r="P56" s="129" t="e">
        <f t="shared" si="7"/>
        <v>#VALUE!</v>
      </c>
      <c r="Q56" s="130" t="e">
        <f t="shared" si="8"/>
        <v>#VALUE!</v>
      </c>
    </row>
    <row r="57" spans="1:17" x14ac:dyDescent="0.3">
      <c r="A57" t="s">
        <v>88</v>
      </c>
      <c r="B57" t="s">
        <v>755</v>
      </c>
      <c r="C57" t="s">
        <v>344</v>
      </c>
      <c r="D57" s="117">
        <v>16560</v>
      </c>
      <c r="E57" s="117">
        <f>D57</f>
        <v>16560</v>
      </c>
      <c r="F57" s="117" t="e">
        <v>#VALUE!</v>
      </c>
      <c r="G57" s="117" t="e">
        <f t="shared" si="5"/>
        <v>#VALUE!</v>
      </c>
      <c r="H57" s="117" t="e">
        <f t="shared" si="6"/>
        <v>#VALUE!</v>
      </c>
      <c r="I57" s="45"/>
      <c r="J57" s="127"/>
      <c r="O57" s="128">
        <v>222.64</v>
      </c>
      <c r="P57" s="129" t="e">
        <f t="shared" si="7"/>
        <v>#VALUE!</v>
      </c>
      <c r="Q57" s="130" t="e">
        <f t="shared" si="8"/>
        <v>#VALUE!</v>
      </c>
    </row>
    <row r="58" spans="1:17" x14ac:dyDescent="0.3">
      <c r="A58" t="s">
        <v>88</v>
      </c>
      <c r="B58" t="s">
        <v>755</v>
      </c>
      <c r="C58" t="s">
        <v>821</v>
      </c>
      <c r="D58" s="117">
        <v>1934</v>
      </c>
      <c r="E58" s="117"/>
      <c r="F58" s="117" t="e">
        <v>#VALUE!</v>
      </c>
      <c r="G58" s="117" t="e">
        <f t="shared" si="5"/>
        <v>#VALUE!</v>
      </c>
      <c r="H58" s="117" t="e">
        <f t="shared" si="6"/>
        <v>#VALUE!</v>
      </c>
      <c r="I58" s="45"/>
      <c r="J58" s="127"/>
      <c r="O58" s="128">
        <v>1851.85</v>
      </c>
      <c r="P58" s="129" t="e">
        <f t="shared" si="7"/>
        <v>#VALUE!</v>
      </c>
      <c r="Q58" s="130" t="e">
        <f t="shared" si="8"/>
        <v>#VALUE!</v>
      </c>
    </row>
    <row r="59" spans="1:17" x14ac:dyDescent="0.3">
      <c r="A59" t="s">
        <v>88</v>
      </c>
      <c r="B59" t="s">
        <v>755</v>
      </c>
      <c r="C59" t="s">
        <v>351</v>
      </c>
      <c r="D59" s="117">
        <v>6529</v>
      </c>
      <c r="E59" s="117">
        <f>D59</f>
        <v>6529</v>
      </c>
      <c r="F59" s="117" t="e">
        <v>#VALUE!</v>
      </c>
      <c r="G59" s="117" t="e">
        <f t="shared" si="5"/>
        <v>#VALUE!</v>
      </c>
      <c r="H59" s="117" t="e">
        <f t="shared" si="6"/>
        <v>#VALUE!</v>
      </c>
      <c r="I59" s="45"/>
      <c r="J59" s="127"/>
      <c r="O59" s="128">
        <v>3513.42</v>
      </c>
      <c r="P59" s="129" t="e">
        <f t="shared" si="7"/>
        <v>#VALUE!</v>
      </c>
      <c r="Q59" s="130" t="e">
        <f t="shared" si="8"/>
        <v>#VALUE!</v>
      </c>
    </row>
    <row r="60" spans="1:17" x14ac:dyDescent="0.3">
      <c r="A60" t="s">
        <v>88</v>
      </c>
      <c r="B60" t="s">
        <v>755</v>
      </c>
      <c r="C60" t="s">
        <v>1021</v>
      </c>
      <c r="D60" s="117"/>
      <c r="E60" s="117"/>
      <c r="F60" s="117" t="e">
        <v>#VALUE!</v>
      </c>
      <c r="G60" s="117" t="e">
        <f t="shared" si="5"/>
        <v>#VALUE!</v>
      </c>
      <c r="H60" s="117" t="e">
        <f t="shared" si="6"/>
        <v>#VALUE!</v>
      </c>
      <c r="I60" s="45"/>
      <c r="J60" s="127"/>
      <c r="O60" s="128">
        <v>140</v>
      </c>
      <c r="P60" s="129" t="e">
        <f t="shared" si="7"/>
        <v>#VALUE!</v>
      </c>
      <c r="Q60" s="130" t="e">
        <f t="shared" si="8"/>
        <v>#VALUE!</v>
      </c>
    </row>
    <row r="61" spans="1:17" x14ac:dyDescent="0.3">
      <c r="C61" s="121" t="s">
        <v>2165</v>
      </c>
      <c r="D61" s="122">
        <f>SUM(D51:D60)</f>
        <v>62809</v>
      </c>
      <c r="E61" s="122">
        <f>SUM(E51:E60)</f>
        <v>55875</v>
      </c>
      <c r="F61" s="122" t="e">
        <f>SUM(F51:F60)</f>
        <v>#VALUE!</v>
      </c>
      <c r="G61" s="122" t="e">
        <f>SUM(G51:G60)</f>
        <v>#VALUE!</v>
      </c>
      <c r="H61" s="122" t="e">
        <f>SUM(H51:H60)</f>
        <v>#VALUE!</v>
      </c>
      <c r="I61" s="123"/>
      <c r="J61" s="127"/>
      <c r="O61" s="131">
        <v>28333.01</v>
      </c>
      <c r="P61" s="129" t="e">
        <f t="shared" si="7"/>
        <v>#VALUE!</v>
      </c>
      <c r="Q61" s="130" t="e">
        <f t="shared" si="8"/>
        <v>#VALUE!</v>
      </c>
    </row>
    <row r="62" spans="1:17" x14ac:dyDescent="0.3">
      <c r="D62" s="117"/>
      <c r="E62" s="117"/>
      <c r="F62" s="117"/>
      <c r="G62" s="117"/>
      <c r="H62" s="117"/>
      <c r="I62" s="45"/>
      <c r="J62" s="127"/>
      <c r="O62" s="128"/>
      <c r="P62" s="119"/>
      <c r="Q62" s="119"/>
    </row>
    <row r="63" spans="1:17" x14ac:dyDescent="0.3">
      <c r="A63" t="s">
        <v>88</v>
      </c>
      <c r="B63" t="s">
        <v>756</v>
      </c>
      <c r="C63" t="s">
        <v>1167</v>
      </c>
      <c r="D63" s="117">
        <v>1230</v>
      </c>
      <c r="E63" s="117">
        <f>D63</f>
        <v>1230</v>
      </c>
      <c r="F63" s="117" t="e">
        <v>#VALUE!</v>
      </c>
      <c r="G63" s="117" t="e">
        <f>F63-D63</f>
        <v>#VALUE!</v>
      </c>
      <c r="H63" s="117" t="e">
        <f>F63-E63</f>
        <v>#VALUE!</v>
      </c>
      <c r="I63" s="45"/>
      <c r="J63" s="127"/>
      <c r="O63" s="128">
        <v>1046.79</v>
      </c>
      <c r="P63" s="129" t="e">
        <f>F63-O63</f>
        <v>#VALUE!</v>
      </c>
      <c r="Q63" s="130" t="e">
        <f>P63/O63</f>
        <v>#VALUE!</v>
      </c>
    </row>
    <row r="64" spans="1:17" x14ac:dyDescent="0.3">
      <c r="A64" t="s">
        <v>88</v>
      </c>
      <c r="B64" t="s">
        <v>756</v>
      </c>
      <c r="C64" t="s">
        <v>915</v>
      </c>
      <c r="D64" s="117">
        <v>8597</v>
      </c>
      <c r="E64" s="117">
        <f>D64</f>
        <v>8597</v>
      </c>
      <c r="F64" s="117" t="e">
        <v>#VALUE!</v>
      </c>
      <c r="G64" s="117" t="e">
        <f>F64-D64</f>
        <v>#VALUE!</v>
      </c>
      <c r="H64" s="117" t="e">
        <f>F64-E64</f>
        <v>#VALUE!</v>
      </c>
      <c r="I64" s="45"/>
      <c r="J64" s="127"/>
      <c r="O64" s="128">
        <v>6424.83</v>
      </c>
      <c r="P64" s="129" t="e">
        <f>F64-O64</f>
        <v>#VALUE!</v>
      </c>
      <c r="Q64" s="130" t="e">
        <f>P64/O64</f>
        <v>#VALUE!</v>
      </c>
    </row>
    <row r="65" spans="1:17" x14ac:dyDescent="0.3">
      <c r="A65" t="s">
        <v>88</v>
      </c>
      <c r="B65" t="s">
        <v>756</v>
      </c>
      <c r="C65" s="120" t="s">
        <v>1273</v>
      </c>
      <c r="D65" s="117"/>
      <c r="E65" s="117"/>
      <c r="F65" s="117" t="e">
        <v>#VALUE!</v>
      </c>
      <c r="G65" s="117" t="e">
        <f>F65-D65</f>
        <v>#VALUE!</v>
      </c>
      <c r="H65" s="117" t="e">
        <f>F65-E65</f>
        <v>#VALUE!</v>
      </c>
      <c r="I65" s="45"/>
      <c r="J65" s="127"/>
      <c r="O65" s="128">
        <v>2493.14</v>
      </c>
      <c r="P65" s="129" t="e">
        <f>F65-O65</f>
        <v>#VALUE!</v>
      </c>
      <c r="Q65" s="130" t="e">
        <f>P65/O65</f>
        <v>#VALUE!</v>
      </c>
    </row>
    <row r="66" spans="1:17" x14ac:dyDescent="0.3">
      <c r="A66" t="s">
        <v>88</v>
      </c>
      <c r="B66" t="s">
        <v>756</v>
      </c>
      <c r="C66" s="120" t="s">
        <v>1281</v>
      </c>
      <c r="D66" s="117">
        <v>4181</v>
      </c>
      <c r="E66" s="117">
        <f>D66</f>
        <v>4181</v>
      </c>
      <c r="F66" s="117" t="e">
        <v>#VALUE!</v>
      </c>
      <c r="G66" s="117" t="e">
        <f>F66-D66</f>
        <v>#VALUE!</v>
      </c>
      <c r="H66" s="117" t="e">
        <f>F66-E66</f>
        <v>#VALUE!</v>
      </c>
      <c r="I66" s="45"/>
      <c r="J66" s="127"/>
      <c r="O66" s="128">
        <v>6233.44</v>
      </c>
      <c r="P66" s="129" t="e">
        <f>F66-O66</f>
        <v>#VALUE!</v>
      </c>
      <c r="Q66" s="130" t="e">
        <f>P66/O66</f>
        <v>#VALUE!</v>
      </c>
    </row>
    <row r="67" spans="1:17" x14ac:dyDescent="0.3">
      <c r="A67" s="120"/>
      <c r="B67" s="120"/>
      <c r="C67" s="121" t="s">
        <v>2167</v>
      </c>
      <c r="D67" s="122">
        <f>SUM(D63:D66)</f>
        <v>14008</v>
      </c>
      <c r="E67" s="122">
        <f>SUM(E63:E66)</f>
        <v>14008</v>
      </c>
      <c r="F67" s="122" t="e">
        <f>SUM(F63:F66)</f>
        <v>#VALUE!</v>
      </c>
      <c r="G67" s="122" t="e">
        <f>SUM(G63:G66)</f>
        <v>#VALUE!</v>
      </c>
      <c r="H67" s="122" t="e">
        <f>SUM(H63:H66)</f>
        <v>#VALUE!</v>
      </c>
      <c r="I67" s="123"/>
      <c r="J67" s="127"/>
      <c r="O67" s="131">
        <v>16198.2</v>
      </c>
      <c r="P67" s="129" t="e">
        <f>F67-O67</f>
        <v>#VALUE!</v>
      </c>
      <c r="Q67" s="130" t="e">
        <f>P67/O67</f>
        <v>#VALUE!</v>
      </c>
    </row>
    <row r="68" spans="1:17" x14ac:dyDescent="0.3">
      <c r="A68" s="120"/>
      <c r="B68" s="120"/>
      <c r="C68" s="120"/>
      <c r="D68" s="117"/>
      <c r="E68" s="117"/>
      <c r="F68" s="117"/>
      <c r="G68" s="117"/>
      <c r="H68" s="117"/>
      <c r="I68" s="45"/>
      <c r="J68" s="127"/>
      <c r="O68" s="128"/>
      <c r="P68" s="119"/>
      <c r="Q68" s="119"/>
    </row>
    <row r="69" spans="1:17" x14ac:dyDescent="0.3">
      <c r="A69" t="s">
        <v>88</v>
      </c>
      <c r="B69" t="s">
        <v>757</v>
      </c>
      <c r="C69" t="s">
        <v>990</v>
      </c>
      <c r="D69" s="117">
        <v>1640</v>
      </c>
      <c r="E69" s="117">
        <f>D69</f>
        <v>1640</v>
      </c>
      <c r="F69" s="117" t="e">
        <v>#VALUE!</v>
      </c>
      <c r="G69" s="117" t="e">
        <f>F69-D69</f>
        <v>#VALUE!</v>
      </c>
      <c r="H69" s="117" t="e">
        <f>F69-E69</f>
        <v>#VALUE!</v>
      </c>
      <c r="I69" s="45"/>
      <c r="J69" s="127"/>
      <c r="O69" s="128">
        <v>1637.26</v>
      </c>
      <c r="P69" s="129" t="e">
        <f>F69-O69</f>
        <v>#VALUE!</v>
      </c>
      <c r="Q69" s="130" t="e">
        <f>P69/O69</f>
        <v>#VALUE!</v>
      </c>
    </row>
    <row r="70" spans="1:17" x14ac:dyDescent="0.3">
      <c r="A70" t="s">
        <v>88</v>
      </c>
      <c r="B70" t="s">
        <v>757</v>
      </c>
      <c r="C70" t="s">
        <v>352</v>
      </c>
      <c r="D70" s="117">
        <v>1640</v>
      </c>
      <c r="E70" s="117">
        <f>D70</f>
        <v>1640</v>
      </c>
      <c r="F70" s="117" t="e">
        <v>#VALUE!</v>
      </c>
      <c r="G70" s="117" t="e">
        <f>F70-D70</f>
        <v>#VALUE!</v>
      </c>
      <c r="H70" s="117" t="e">
        <f>F70-E70</f>
        <v>#VALUE!</v>
      </c>
      <c r="I70" s="45"/>
      <c r="J70" s="127"/>
      <c r="O70" s="128">
        <v>997.08</v>
      </c>
      <c r="P70" s="129" t="e">
        <f>F70-O70</f>
        <v>#VALUE!</v>
      </c>
      <c r="Q70" s="130" t="e">
        <f>P70/O70</f>
        <v>#VALUE!</v>
      </c>
    </row>
    <row r="71" spans="1:17" x14ac:dyDescent="0.3">
      <c r="A71" t="s">
        <v>88</v>
      </c>
      <c r="B71" t="s">
        <v>757</v>
      </c>
      <c r="C71" t="s">
        <v>1008</v>
      </c>
      <c r="D71" s="117">
        <v>1383</v>
      </c>
      <c r="E71" s="117">
        <f>D71</f>
        <v>1383</v>
      </c>
      <c r="F71" s="117" t="e">
        <v>#VALUE!</v>
      </c>
      <c r="G71" s="117" t="e">
        <f>F71-D71</f>
        <v>#VALUE!</v>
      </c>
      <c r="H71" s="117" t="e">
        <f>F71-E71</f>
        <v>#VALUE!</v>
      </c>
      <c r="I71" s="45"/>
      <c r="J71" s="127"/>
      <c r="O71" s="128">
        <v>1263.06</v>
      </c>
      <c r="P71" s="129" t="e">
        <f>F71-O71</f>
        <v>#VALUE!</v>
      </c>
      <c r="Q71" s="130" t="e">
        <f>P71/O71</f>
        <v>#VALUE!</v>
      </c>
    </row>
    <row r="72" spans="1:17" x14ac:dyDescent="0.3">
      <c r="A72" t="s">
        <v>88</v>
      </c>
      <c r="B72" t="s">
        <v>757</v>
      </c>
      <c r="C72" t="s">
        <v>1212</v>
      </c>
      <c r="D72" s="117">
        <v>5818</v>
      </c>
      <c r="E72" s="117">
        <f>D72</f>
        <v>5818</v>
      </c>
      <c r="F72" s="117" t="e">
        <v>#VALUE!</v>
      </c>
      <c r="G72" s="117" t="e">
        <f>F72-D72</f>
        <v>#VALUE!</v>
      </c>
      <c r="H72" s="117" t="e">
        <f>F72-E72</f>
        <v>#VALUE!</v>
      </c>
      <c r="I72" s="45"/>
      <c r="J72" s="127"/>
      <c r="O72" s="128">
        <v>10898.03</v>
      </c>
      <c r="P72" s="129" t="e">
        <f>F72-O72</f>
        <v>#VALUE!</v>
      </c>
      <c r="Q72" s="130" t="e">
        <f>P72/O72</f>
        <v>#VALUE!</v>
      </c>
    </row>
    <row r="73" spans="1:17" x14ac:dyDescent="0.3">
      <c r="A73" t="s">
        <v>88</v>
      </c>
      <c r="B73" t="s">
        <v>757</v>
      </c>
      <c r="C73" t="s">
        <v>282</v>
      </c>
      <c r="D73" s="117"/>
      <c r="E73" s="117"/>
      <c r="F73" s="117" t="e">
        <v>#VALUE!</v>
      </c>
      <c r="G73" s="117"/>
      <c r="H73" s="117"/>
      <c r="I73" s="45"/>
      <c r="J73" s="127"/>
      <c r="O73" s="128"/>
      <c r="P73" s="129"/>
      <c r="Q73" s="130"/>
    </row>
    <row r="74" spans="1:17" x14ac:dyDescent="0.3">
      <c r="A74" t="s">
        <v>88</v>
      </c>
      <c r="B74" t="s">
        <v>757</v>
      </c>
      <c r="C74" t="s">
        <v>1309</v>
      </c>
      <c r="D74" s="117">
        <v>25113</v>
      </c>
      <c r="E74" s="117">
        <f>D74</f>
        <v>25113</v>
      </c>
      <c r="F74" s="117" t="e">
        <v>#VALUE!</v>
      </c>
      <c r="G74" s="117" t="e">
        <f t="shared" ref="G74:G96" si="9">F74-D74</f>
        <v>#VALUE!</v>
      </c>
      <c r="H74" s="117" t="e">
        <f t="shared" ref="H74:H96" si="10">F74-E74</f>
        <v>#VALUE!</v>
      </c>
      <c r="I74" s="45"/>
      <c r="J74" s="127"/>
      <c r="O74" s="128">
        <v>12218.17</v>
      </c>
      <c r="P74" s="129" t="e">
        <f>F74-O74</f>
        <v>#VALUE!</v>
      </c>
      <c r="Q74" s="130" t="e">
        <f>P74/O74</f>
        <v>#VALUE!</v>
      </c>
    </row>
    <row r="75" spans="1:17" x14ac:dyDescent="0.3">
      <c r="A75" t="s">
        <v>88</v>
      </c>
      <c r="B75" t="s">
        <v>757</v>
      </c>
      <c r="C75" t="s">
        <v>1307</v>
      </c>
      <c r="D75" s="117"/>
      <c r="E75" s="117"/>
      <c r="F75" s="117" t="e">
        <v>#VALUE!</v>
      </c>
      <c r="G75" s="117" t="e">
        <f t="shared" si="9"/>
        <v>#VALUE!</v>
      </c>
      <c r="H75" s="117" t="e">
        <f t="shared" si="10"/>
        <v>#VALUE!</v>
      </c>
      <c r="I75" s="45"/>
      <c r="J75" s="127"/>
      <c r="O75" s="128">
        <v>6687.92</v>
      </c>
      <c r="P75" s="129" t="e">
        <f>F75-O75</f>
        <v>#VALUE!</v>
      </c>
      <c r="Q75" s="130" t="e">
        <f>P75/O75</f>
        <v>#VALUE!</v>
      </c>
    </row>
    <row r="76" spans="1:17" x14ac:dyDescent="0.3">
      <c r="A76" t="s">
        <v>88</v>
      </c>
      <c r="B76" t="s">
        <v>757</v>
      </c>
      <c r="C76" t="s">
        <v>1377</v>
      </c>
      <c r="D76" s="117"/>
      <c r="E76" s="117"/>
      <c r="F76" s="117" t="e">
        <v>#VALUE!</v>
      </c>
      <c r="G76" s="117" t="e">
        <f t="shared" si="9"/>
        <v>#VALUE!</v>
      </c>
      <c r="H76" s="117" t="e">
        <f t="shared" si="10"/>
        <v>#VALUE!</v>
      </c>
      <c r="I76" s="45"/>
      <c r="J76" s="127"/>
      <c r="O76" s="128">
        <v>2127.77</v>
      </c>
      <c r="P76" s="129" t="e">
        <f>F76-O76</f>
        <v>#VALUE!</v>
      </c>
      <c r="Q76" s="130" t="e">
        <f>P76/O76</f>
        <v>#VALUE!</v>
      </c>
    </row>
    <row r="77" spans="1:17" x14ac:dyDescent="0.3">
      <c r="A77" t="s">
        <v>88</v>
      </c>
      <c r="B77" t="s">
        <v>757</v>
      </c>
      <c r="C77" t="s">
        <v>1543</v>
      </c>
      <c r="D77" s="117"/>
      <c r="E77" s="117"/>
      <c r="F77" s="117" t="e">
        <v>#VALUE!</v>
      </c>
      <c r="G77" s="117" t="e">
        <f t="shared" si="9"/>
        <v>#VALUE!</v>
      </c>
      <c r="H77" s="117" t="e">
        <f t="shared" si="10"/>
        <v>#VALUE!</v>
      </c>
      <c r="I77" s="45"/>
      <c r="J77" s="127"/>
      <c r="O77" s="128"/>
      <c r="P77" s="129"/>
      <c r="Q77" s="130"/>
    </row>
    <row r="78" spans="1:17" x14ac:dyDescent="0.3">
      <c r="A78" t="s">
        <v>88</v>
      </c>
      <c r="B78" t="s">
        <v>757</v>
      </c>
      <c r="C78" t="s">
        <v>945</v>
      </c>
      <c r="D78" s="117">
        <v>4100</v>
      </c>
      <c r="E78" s="117">
        <f>D78</f>
        <v>4100</v>
      </c>
      <c r="F78" s="117" t="e">
        <v>#VALUE!</v>
      </c>
      <c r="G78" s="117" t="e">
        <f t="shared" si="9"/>
        <v>#VALUE!</v>
      </c>
      <c r="H78" s="117" t="e">
        <f t="shared" si="10"/>
        <v>#VALUE!</v>
      </c>
      <c r="I78" s="45"/>
      <c r="J78" s="127"/>
      <c r="O78" s="128">
        <v>4935.5600000000004</v>
      </c>
      <c r="P78" s="129" t="e">
        <f t="shared" ref="P78:P84" si="11">F78-O78</f>
        <v>#VALUE!</v>
      </c>
      <c r="Q78" s="130" t="e">
        <f t="shared" ref="Q78:Q84" si="12">P78/O78</f>
        <v>#VALUE!</v>
      </c>
    </row>
    <row r="79" spans="1:17" x14ac:dyDescent="0.3">
      <c r="A79" t="s">
        <v>88</v>
      </c>
      <c r="B79" t="s">
        <v>757</v>
      </c>
      <c r="C79" t="s">
        <v>939</v>
      </c>
      <c r="D79" s="117">
        <v>433</v>
      </c>
      <c r="E79" s="117">
        <f>D79</f>
        <v>433</v>
      </c>
      <c r="F79" s="117" t="e">
        <v>#VALUE!</v>
      </c>
      <c r="G79" s="117" t="e">
        <f t="shared" si="9"/>
        <v>#VALUE!</v>
      </c>
      <c r="H79" s="117" t="e">
        <f t="shared" si="10"/>
        <v>#VALUE!</v>
      </c>
      <c r="I79" s="45"/>
      <c r="J79" s="127"/>
      <c r="O79" s="128">
        <v>550</v>
      </c>
      <c r="P79" s="129" t="e">
        <f t="shared" si="11"/>
        <v>#VALUE!</v>
      </c>
      <c r="Q79" s="130" t="e">
        <f t="shared" si="12"/>
        <v>#VALUE!</v>
      </c>
    </row>
    <row r="80" spans="1:17" x14ac:dyDescent="0.3">
      <c r="A80" t="s">
        <v>88</v>
      </c>
      <c r="B80" t="s">
        <v>757</v>
      </c>
      <c r="C80" t="s">
        <v>1286</v>
      </c>
      <c r="D80" s="117">
        <v>5505</v>
      </c>
      <c r="E80" s="117">
        <f>D80</f>
        <v>5505</v>
      </c>
      <c r="F80" s="117" t="e">
        <v>#VALUE!</v>
      </c>
      <c r="G80" s="117" t="e">
        <f t="shared" si="9"/>
        <v>#VALUE!</v>
      </c>
      <c r="H80" s="117" t="e">
        <f t="shared" si="10"/>
        <v>#VALUE!</v>
      </c>
      <c r="I80" s="45"/>
      <c r="J80" s="127"/>
      <c r="O80" s="128">
        <v>3426.34</v>
      </c>
      <c r="P80" s="129" t="e">
        <f t="shared" si="11"/>
        <v>#VALUE!</v>
      </c>
      <c r="Q80" s="130" t="e">
        <f t="shared" si="12"/>
        <v>#VALUE!</v>
      </c>
    </row>
    <row r="81" spans="1:17" x14ac:dyDescent="0.3">
      <c r="A81" t="s">
        <v>88</v>
      </c>
      <c r="B81" t="s">
        <v>757</v>
      </c>
      <c r="C81" t="s">
        <v>1066</v>
      </c>
      <c r="D81" s="117">
        <v>1025</v>
      </c>
      <c r="E81" s="117">
        <f>D81</f>
        <v>1025</v>
      </c>
      <c r="F81" s="117" t="e">
        <v>#VALUE!</v>
      </c>
      <c r="G81" s="117" t="e">
        <f t="shared" si="9"/>
        <v>#VALUE!</v>
      </c>
      <c r="H81" s="117" t="e">
        <f t="shared" si="10"/>
        <v>#VALUE!</v>
      </c>
      <c r="I81" s="45"/>
      <c r="J81" s="127"/>
      <c r="O81" s="128">
        <v>841.25</v>
      </c>
      <c r="P81" s="129" t="e">
        <f t="shared" si="11"/>
        <v>#VALUE!</v>
      </c>
      <c r="Q81" s="130" t="e">
        <f t="shared" si="12"/>
        <v>#VALUE!</v>
      </c>
    </row>
    <row r="82" spans="1:17" x14ac:dyDescent="0.3">
      <c r="A82" t="s">
        <v>88</v>
      </c>
      <c r="B82" t="s">
        <v>757</v>
      </c>
      <c r="C82" t="s">
        <v>1545</v>
      </c>
      <c r="D82" s="117">
        <v>974</v>
      </c>
      <c r="E82" s="117">
        <f>D82</f>
        <v>974</v>
      </c>
      <c r="F82" s="117" t="e">
        <v>#VALUE!</v>
      </c>
      <c r="G82" s="117" t="e">
        <f t="shared" si="9"/>
        <v>#VALUE!</v>
      </c>
      <c r="H82" s="117" t="e">
        <f t="shared" si="10"/>
        <v>#VALUE!</v>
      </c>
      <c r="I82" s="45"/>
      <c r="J82" s="127"/>
      <c r="O82" s="128">
        <v>70</v>
      </c>
      <c r="P82" s="129" t="e">
        <f t="shared" si="11"/>
        <v>#VALUE!</v>
      </c>
      <c r="Q82" s="130" t="e">
        <f t="shared" si="12"/>
        <v>#VALUE!</v>
      </c>
    </row>
    <row r="83" spans="1:17" x14ac:dyDescent="0.3">
      <c r="A83" t="s">
        <v>88</v>
      </c>
      <c r="B83" t="s">
        <v>757</v>
      </c>
      <c r="C83" t="s">
        <v>1087</v>
      </c>
      <c r="D83" s="117"/>
      <c r="E83" s="117"/>
      <c r="F83" s="117" t="e">
        <v>#VALUE!</v>
      </c>
      <c r="G83" s="117" t="e">
        <f t="shared" si="9"/>
        <v>#VALUE!</v>
      </c>
      <c r="H83" s="117" t="e">
        <f t="shared" si="10"/>
        <v>#VALUE!</v>
      </c>
      <c r="I83" s="45"/>
      <c r="J83" s="127"/>
      <c r="O83" s="128">
        <v>0</v>
      </c>
      <c r="P83" s="129" t="e">
        <f t="shared" si="11"/>
        <v>#VALUE!</v>
      </c>
      <c r="Q83" s="130" t="e">
        <f t="shared" si="12"/>
        <v>#VALUE!</v>
      </c>
    </row>
    <row r="84" spans="1:17" x14ac:dyDescent="0.3">
      <c r="A84" t="s">
        <v>88</v>
      </c>
      <c r="B84" t="s">
        <v>757</v>
      </c>
      <c r="C84" t="s">
        <v>2174</v>
      </c>
      <c r="D84" s="117">
        <v>1324</v>
      </c>
      <c r="E84" s="117">
        <f>D84</f>
        <v>1324</v>
      </c>
      <c r="F84" s="117" t="e">
        <v>#VALUE!</v>
      </c>
      <c r="G84" s="117" t="e">
        <f t="shared" si="9"/>
        <v>#VALUE!</v>
      </c>
      <c r="H84" s="117" t="e">
        <f t="shared" si="10"/>
        <v>#VALUE!</v>
      </c>
      <c r="I84" s="45"/>
      <c r="J84" s="127"/>
      <c r="O84" s="128">
        <v>1699.89</v>
      </c>
      <c r="P84" s="129" t="e">
        <f t="shared" si="11"/>
        <v>#VALUE!</v>
      </c>
      <c r="Q84" s="130" t="e">
        <f t="shared" si="12"/>
        <v>#VALUE!</v>
      </c>
    </row>
    <row r="85" spans="1:17" x14ac:dyDescent="0.3">
      <c r="A85" t="s">
        <v>88</v>
      </c>
      <c r="B85" t="s">
        <v>757</v>
      </c>
      <c r="C85" t="s">
        <v>1518</v>
      </c>
      <c r="D85" s="117"/>
      <c r="E85" s="117"/>
      <c r="F85" s="117" t="e">
        <v>#VALUE!</v>
      </c>
      <c r="G85" s="117" t="e">
        <f t="shared" si="9"/>
        <v>#VALUE!</v>
      </c>
      <c r="H85" s="117" t="e">
        <f t="shared" si="10"/>
        <v>#VALUE!</v>
      </c>
      <c r="I85" s="45"/>
      <c r="J85" s="127"/>
      <c r="O85" s="128"/>
      <c r="P85" s="129"/>
      <c r="Q85" s="130"/>
    </row>
    <row r="86" spans="1:17" x14ac:dyDescent="0.3">
      <c r="A86" t="s">
        <v>88</v>
      </c>
      <c r="B86" t="s">
        <v>757</v>
      </c>
      <c r="C86" t="s">
        <v>819</v>
      </c>
      <c r="D86" s="117">
        <v>256</v>
      </c>
      <c r="E86" s="117">
        <f>D86</f>
        <v>256</v>
      </c>
      <c r="F86" s="117" t="e">
        <v>#VALUE!</v>
      </c>
      <c r="G86" s="117" t="e">
        <f t="shared" si="9"/>
        <v>#VALUE!</v>
      </c>
      <c r="H86" s="117" t="e">
        <f t="shared" si="10"/>
        <v>#VALUE!</v>
      </c>
      <c r="I86" s="45"/>
      <c r="J86" s="127"/>
      <c r="O86" s="128">
        <v>287.29000000000002</v>
      </c>
      <c r="P86" s="129" t="e">
        <f>F86-O86</f>
        <v>#VALUE!</v>
      </c>
      <c r="Q86" s="130" t="e">
        <f>P86/O86</f>
        <v>#VALUE!</v>
      </c>
    </row>
    <row r="87" spans="1:17" x14ac:dyDescent="0.3">
      <c r="A87" t="s">
        <v>88</v>
      </c>
      <c r="B87" t="s">
        <v>757</v>
      </c>
      <c r="C87" t="s">
        <v>1566</v>
      </c>
      <c r="D87" s="117">
        <v>4100</v>
      </c>
      <c r="E87" s="117">
        <f>D87</f>
        <v>4100</v>
      </c>
      <c r="F87" s="117" t="e">
        <v>#VALUE!</v>
      </c>
      <c r="G87" s="117" t="e">
        <f t="shared" si="9"/>
        <v>#VALUE!</v>
      </c>
      <c r="H87" s="117" t="e">
        <f t="shared" si="10"/>
        <v>#VALUE!</v>
      </c>
      <c r="I87" s="45"/>
      <c r="J87" s="127"/>
      <c r="O87" s="128">
        <v>0</v>
      </c>
      <c r="P87" s="129" t="e">
        <f>F87-O87</f>
        <v>#VALUE!</v>
      </c>
      <c r="Q87" s="130" t="e">
        <f>P87/O87</f>
        <v>#VALUE!</v>
      </c>
    </row>
    <row r="88" spans="1:17" x14ac:dyDescent="0.3">
      <c r="A88" t="s">
        <v>88</v>
      </c>
      <c r="B88" t="s">
        <v>757</v>
      </c>
      <c r="C88" t="s">
        <v>1561</v>
      </c>
      <c r="D88" s="117">
        <v>12813</v>
      </c>
      <c r="E88" s="117">
        <f>D88</f>
        <v>12813</v>
      </c>
      <c r="F88" s="117" t="e">
        <v>#VALUE!</v>
      </c>
      <c r="G88" s="117" t="e">
        <f t="shared" si="9"/>
        <v>#VALUE!</v>
      </c>
      <c r="H88" s="117" t="e">
        <f t="shared" si="10"/>
        <v>#VALUE!</v>
      </c>
      <c r="I88" s="45"/>
      <c r="J88" s="127"/>
      <c r="O88" s="128">
        <v>12341.71</v>
      </c>
      <c r="P88" s="129" t="e">
        <f>F88-O88</f>
        <v>#VALUE!</v>
      </c>
      <c r="Q88" s="130" t="e">
        <f>P88/O88</f>
        <v>#VALUE!</v>
      </c>
    </row>
    <row r="89" spans="1:17" x14ac:dyDescent="0.3">
      <c r="A89" t="s">
        <v>88</v>
      </c>
      <c r="B89" t="s">
        <v>757</v>
      </c>
      <c r="C89" t="s">
        <v>956</v>
      </c>
      <c r="D89" s="117">
        <v>369</v>
      </c>
      <c r="E89" s="117">
        <f>D89</f>
        <v>369</v>
      </c>
      <c r="F89" s="117" t="e">
        <v>#VALUE!</v>
      </c>
      <c r="G89" s="117" t="e">
        <f t="shared" si="9"/>
        <v>#VALUE!</v>
      </c>
      <c r="H89" s="117" t="e">
        <f t="shared" si="10"/>
        <v>#VALUE!</v>
      </c>
      <c r="I89" s="45"/>
      <c r="J89" s="127"/>
      <c r="O89" s="128">
        <v>0</v>
      </c>
      <c r="P89" s="129" t="e">
        <f>F89-O89</f>
        <v>#VALUE!</v>
      </c>
      <c r="Q89" s="130" t="e">
        <f>P89/O89</f>
        <v>#VALUE!</v>
      </c>
    </row>
    <row r="90" spans="1:17" x14ac:dyDescent="0.3">
      <c r="A90" t="s">
        <v>88</v>
      </c>
      <c r="B90" t="s">
        <v>757</v>
      </c>
      <c r="C90" s="120" t="s">
        <v>2175</v>
      </c>
      <c r="D90" s="117"/>
      <c r="E90" s="117"/>
      <c r="F90" s="117" t="e">
        <v>#VALUE!</v>
      </c>
      <c r="G90" s="117" t="e">
        <f t="shared" si="9"/>
        <v>#VALUE!</v>
      </c>
      <c r="H90" s="117" t="e">
        <f t="shared" si="10"/>
        <v>#VALUE!</v>
      </c>
      <c r="I90" s="45"/>
      <c r="J90" s="127"/>
      <c r="O90" s="128">
        <v>0</v>
      </c>
      <c r="P90" s="129" t="e">
        <f>F90-O90</f>
        <v>#VALUE!</v>
      </c>
      <c r="Q90" s="130" t="e">
        <f>P90/O90</f>
        <v>#VALUE!</v>
      </c>
    </row>
    <row r="91" spans="1:17" x14ac:dyDescent="0.3">
      <c r="A91" t="s">
        <v>88</v>
      </c>
      <c r="B91" t="s">
        <v>757</v>
      </c>
      <c r="C91" t="s">
        <v>2176</v>
      </c>
      <c r="D91" s="117">
        <v>250</v>
      </c>
      <c r="E91" s="117">
        <f t="shared" ref="E91:E96" si="13">D91</f>
        <v>250</v>
      </c>
      <c r="F91" s="117" t="e">
        <v>#VALUE!</v>
      </c>
      <c r="G91" s="117" t="e">
        <f t="shared" si="9"/>
        <v>#VALUE!</v>
      </c>
      <c r="H91" s="117" t="e">
        <f t="shared" si="10"/>
        <v>#VALUE!</v>
      </c>
      <c r="I91" s="45"/>
      <c r="J91" s="127"/>
      <c r="O91" s="128"/>
      <c r="P91" s="129"/>
      <c r="Q91" s="130"/>
    </row>
    <row r="92" spans="1:17" x14ac:dyDescent="0.3">
      <c r="A92" t="s">
        <v>88</v>
      </c>
      <c r="B92" t="s">
        <v>757</v>
      </c>
      <c r="C92" s="133" t="s">
        <v>1570</v>
      </c>
      <c r="D92" s="117"/>
      <c r="E92" s="117"/>
      <c r="F92" s="117" t="e">
        <v>#VALUE!</v>
      </c>
      <c r="G92" s="117" t="e">
        <f>F92-D92</f>
        <v>#VALUE!</v>
      </c>
      <c r="H92" s="117" t="e">
        <f t="shared" si="10"/>
        <v>#VALUE!</v>
      </c>
      <c r="I92" s="45"/>
      <c r="J92" s="127"/>
      <c r="O92" s="128">
        <v>5280</v>
      </c>
      <c r="P92" s="129" t="e">
        <f>F92-O92</f>
        <v>#VALUE!</v>
      </c>
      <c r="Q92" s="130" t="e">
        <f>P92/O92</f>
        <v>#VALUE!</v>
      </c>
    </row>
    <row r="93" spans="1:17" x14ac:dyDescent="0.3">
      <c r="A93" t="s">
        <v>88</v>
      </c>
      <c r="B93" t="s">
        <v>757</v>
      </c>
      <c r="C93" s="133" t="s">
        <v>1576</v>
      </c>
      <c r="D93" s="117"/>
      <c r="E93" s="117"/>
      <c r="F93" s="117" t="e">
        <v>#VALUE!</v>
      </c>
      <c r="G93" s="117" t="e">
        <f>F93-D93</f>
        <v>#VALUE!</v>
      </c>
      <c r="H93" s="117" t="e">
        <f t="shared" si="10"/>
        <v>#VALUE!</v>
      </c>
      <c r="I93" s="45"/>
      <c r="J93" s="127"/>
      <c r="O93" s="128">
        <v>5280</v>
      </c>
      <c r="P93" s="129" t="e">
        <f>F93-O93</f>
        <v>#VALUE!</v>
      </c>
      <c r="Q93" s="130" t="e">
        <f>P93/O93</f>
        <v>#VALUE!</v>
      </c>
    </row>
    <row r="94" spans="1:17" x14ac:dyDescent="0.3">
      <c r="A94" t="s">
        <v>88</v>
      </c>
      <c r="B94" t="s">
        <v>757</v>
      </c>
      <c r="C94" t="s">
        <v>290</v>
      </c>
      <c r="D94" s="117"/>
      <c r="E94" s="117"/>
      <c r="F94" s="117" t="e">
        <v>#VALUE!</v>
      </c>
      <c r="G94" s="117" t="e">
        <f>F94-D94</f>
        <v>#VALUE!</v>
      </c>
      <c r="H94" s="117" t="e">
        <f t="shared" si="10"/>
        <v>#VALUE!</v>
      </c>
      <c r="I94" s="45"/>
      <c r="J94" s="127"/>
      <c r="O94" s="128">
        <v>5280</v>
      </c>
      <c r="P94" s="129" t="e">
        <f>F94-O94</f>
        <v>#VALUE!</v>
      </c>
      <c r="Q94" s="130" t="e">
        <f>P94/O94</f>
        <v>#VALUE!</v>
      </c>
    </row>
    <row r="95" spans="1:17" x14ac:dyDescent="0.3">
      <c r="A95" t="s">
        <v>88</v>
      </c>
      <c r="B95" t="s">
        <v>757</v>
      </c>
      <c r="C95" t="s">
        <v>2177</v>
      </c>
      <c r="D95" s="117">
        <v>9500</v>
      </c>
      <c r="E95" s="117">
        <f t="shared" si="13"/>
        <v>9500</v>
      </c>
      <c r="F95" s="117" t="e">
        <v>#VALUE!</v>
      </c>
      <c r="G95" s="117" t="e">
        <f t="shared" si="9"/>
        <v>#VALUE!</v>
      </c>
      <c r="H95" s="117" t="e">
        <f t="shared" si="10"/>
        <v>#VALUE!</v>
      </c>
      <c r="I95" s="45"/>
      <c r="J95" s="127"/>
      <c r="O95" s="128"/>
      <c r="P95" s="129"/>
      <c r="Q95" s="130"/>
    </row>
    <row r="96" spans="1:17" x14ac:dyDescent="0.3">
      <c r="A96" t="s">
        <v>88</v>
      </c>
      <c r="B96" t="s">
        <v>757</v>
      </c>
      <c r="C96" t="s">
        <v>2178</v>
      </c>
      <c r="D96" s="117">
        <v>2500</v>
      </c>
      <c r="E96" s="117">
        <f t="shared" si="13"/>
        <v>2500</v>
      </c>
      <c r="F96" s="117" t="e">
        <v>#VALUE!</v>
      </c>
      <c r="G96" s="117" t="e">
        <f t="shared" si="9"/>
        <v>#VALUE!</v>
      </c>
      <c r="H96" s="117" t="e">
        <f t="shared" si="10"/>
        <v>#VALUE!</v>
      </c>
      <c r="I96" s="45"/>
      <c r="J96" s="127"/>
      <c r="O96" s="128"/>
      <c r="P96" s="129"/>
      <c r="Q96" s="130"/>
    </row>
    <row r="97" spans="1:17" x14ac:dyDescent="0.3">
      <c r="C97" s="121" t="s">
        <v>2168</v>
      </c>
      <c r="D97" s="122">
        <f>SUM(D69:D96)</f>
        <v>78743</v>
      </c>
      <c r="E97" s="122">
        <f>SUM(E69:E96)</f>
        <v>78743</v>
      </c>
      <c r="F97" s="122" t="e">
        <f>SUM(F69:F96)</f>
        <v>#VALUE!</v>
      </c>
      <c r="G97" s="122" t="e">
        <f>SUM(G69:G96)</f>
        <v>#VALUE!</v>
      </c>
      <c r="H97" s="122" t="e">
        <f>SUM(H69:H96)</f>
        <v>#VALUE!</v>
      </c>
      <c r="I97" s="123"/>
      <c r="J97" s="127"/>
      <c r="O97" s="131">
        <v>59981.33</v>
      </c>
      <c r="P97" s="129" t="e">
        <f>F97-O97</f>
        <v>#VALUE!</v>
      </c>
      <c r="Q97" s="130" t="e">
        <f>P97/O97</f>
        <v>#VALUE!</v>
      </c>
    </row>
    <row r="98" spans="1:17" x14ac:dyDescent="0.3">
      <c r="D98" s="117"/>
      <c r="E98" s="117"/>
      <c r="F98" s="117"/>
      <c r="G98" s="117"/>
      <c r="H98" s="117"/>
      <c r="I98" s="45"/>
      <c r="J98" s="127"/>
      <c r="O98" s="128"/>
      <c r="P98" s="119"/>
      <c r="Q98" s="119"/>
    </row>
    <row r="99" spans="1:17" x14ac:dyDescent="0.3">
      <c r="A99" t="s">
        <v>88</v>
      </c>
      <c r="B99" t="s">
        <v>1075</v>
      </c>
      <c r="C99" t="s">
        <v>1433</v>
      </c>
      <c r="D99" s="117">
        <v>16599</v>
      </c>
      <c r="E99" s="117">
        <f>D99</f>
        <v>16599</v>
      </c>
      <c r="F99" s="117" t="e">
        <v>#VALUE!</v>
      </c>
      <c r="G99" s="117" t="e">
        <f>F99-D99</f>
        <v>#VALUE!</v>
      </c>
      <c r="H99" s="117" t="e">
        <f>F99-E99</f>
        <v>#VALUE!</v>
      </c>
      <c r="I99" s="45"/>
      <c r="J99" s="127"/>
      <c r="O99" s="128">
        <v>9023.48</v>
      </c>
      <c r="P99" s="129" t="e">
        <f>F99-O99</f>
        <v>#VALUE!</v>
      </c>
      <c r="Q99" s="130" t="e">
        <f>P99/O99</f>
        <v>#VALUE!</v>
      </c>
    </row>
    <row r="100" spans="1:17" x14ac:dyDescent="0.3">
      <c r="A100" t="s">
        <v>88</v>
      </c>
      <c r="B100" t="s">
        <v>1075</v>
      </c>
      <c r="C100" t="s">
        <v>1431</v>
      </c>
      <c r="D100" s="117">
        <v>42768</v>
      </c>
      <c r="E100" s="117">
        <v>32500</v>
      </c>
      <c r="F100" s="117" t="e">
        <v>#VALUE!</v>
      </c>
      <c r="G100" s="117" t="e">
        <f>F100-D100</f>
        <v>#VALUE!</v>
      </c>
      <c r="H100" s="117" t="e">
        <f>F100-E100</f>
        <v>#VALUE!</v>
      </c>
      <c r="I100" s="45"/>
      <c r="J100" s="127"/>
      <c r="O100" s="128">
        <v>30215.57</v>
      </c>
      <c r="P100" s="129" t="e">
        <f>F100-O100</f>
        <v>#VALUE!</v>
      </c>
      <c r="Q100" s="130" t="e">
        <f>P100/O100</f>
        <v>#VALUE!</v>
      </c>
    </row>
    <row r="101" spans="1:17" x14ac:dyDescent="0.3">
      <c r="C101" s="121" t="s">
        <v>2179</v>
      </c>
      <c r="D101" s="122">
        <f>SUM(D99:D100)</f>
        <v>59367</v>
      </c>
      <c r="E101" s="122">
        <f>SUM(E99:E100)</f>
        <v>49099</v>
      </c>
      <c r="F101" s="122" t="e">
        <f>SUM(F99:F100)</f>
        <v>#VALUE!</v>
      </c>
      <c r="G101" s="122" t="e">
        <f>SUM(G99:G100)</f>
        <v>#VALUE!</v>
      </c>
      <c r="H101" s="122" t="e">
        <f>SUM(H99:H100)</f>
        <v>#VALUE!</v>
      </c>
      <c r="I101" s="123"/>
      <c r="J101" s="127"/>
      <c r="O101" s="131">
        <v>39239.050000000003</v>
      </c>
      <c r="P101" s="129" t="e">
        <f>F101-O101</f>
        <v>#VALUE!</v>
      </c>
      <c r="Q101" s="130" t="e">
        <f>P101/O101</f>
        <v>#VALUE!</v>
      </c>
    </row>
    <row r="102" spans="1:17" x14ac:dyDescent="0.3">
      <c r="D102" s="117"/>
      <c r="E102" s="117"/>
      <c r="F102" s="117"/>
      <c r="G102" s="117"/>
      <c r="H102" s="117"/>
      <c r="I102" s="45"/>
      <c r="J102" s="127"/>
      <c r="O102" s="128"/>
      <c r="P102" s="119"/>
      <c r="Q102" s="119"/>
    </row>
    <row r="103" spans="1:17" x14ac:dyDescent="0.3">
      <c r="A103" t="s">
        <v>88</v>
      </c>
      <c r="B103" t="s">
        <v>781</v>
      </c>
      <c r="C103" t="s">
        <v>781</v>
      </c>
      <c r="D103" s="117">
        <v>33620</v>
      </c>
      <c r="E103" s="117">
        <v>64084</v>
      </c>
      <c r="F103" s="117" t="e">
        <v>#VALUE!</v>
      </c>
      <c r="G103" s="117" t="e">
        <f>F103-D103</f>
        <v>#VALUE!</v>
      </c>
      <c r="H103" s="117" t="e">
        <f>F103-E103</f>
        <v>#VALUE!</v>
      </c>
      <c r="I103" s="45"/>
      <c r="J103" s="127"/>
      <c r="O103" s="128">
        <v>41880.94</v>
      </c>
      <c r="P103" s="129" t="e">
        <f>F103-O103</f>
        <v>#VALUE!</v>
      </c>
      <c r="Q103" s="130" t="e">
        <f>P103/O103</f>
        <v>#VALUE!</v>
      </c>
    </row>
    <row r="104" spans="1:17" x14ac:dyDescent="0.3">
      <c r="C104" s="121" t="s">
        <v>2169</v>
      </c>
      <c r="D104" s="122">
        <f>SUM(D103)</f>
        <v>33620</v>
      </c>
      <c r="E104" s="122">
        <f>SUM(E103)</f>
        <v>64084</v>
      </c>
      <c r="F104" s="122" t="e">
        <f>SUM(F103)</f>
        <v>#VALUE!</v>
      </c>
      <c r="G104" s="122" t="e">
        <f>SUM(G103)</f>
        <v>#VALUE!</v>
      </c>
      <c r="H104" s="122" t="e">
        <f>SUM(H103)</f>
        <v>#VALUE!</v>
      </c>
      <c r="I104" s="123"/>
      <c r="J104" s="127"/>
      <c r="O104" s="131">
        <v>41880.94</v>
      </c>
      <c r="P104" s="129" t="e">
        <f>F104-O104</f>
        <v>#VALUE!</v>
      </c>
      <c r="Q104" s="130" t="e">
        <f>P104/O104</f>
        <v>#VALUE!</v>
      </c>
    </row>
    <row r="105" spans="1:17" x14ac:dyDescent="0.3">
      <c r="D105" s="117"/>
      <c r="E105" s="117"/>
      <c r="F105" s="117"/>
      <c r="G105" s="117"/>
      <c r="H105" s="117"/>
      <c r="I105" s="45"/>
      <c r="J105" s="127"/>
      <c r="O105" s="128"/>
      <c r="P105" s="119"/>
      <c r="Q105" s="119"/>
    </row>
    <row r="106" spans="1:17" x14ac:dyDescent="0.3">
      <c r="A106" t="s">
        <v>88</v>
      </c>
      <c r="B106" t="s">
        <v>2180</v>
      </c>
      <c r="C106" t="s">
        <v>282</v>
      </c>
      <c r="D106" s="117">
        <v>27000</v>
      </c>
      <c r="E106" s="117">
        <f>D106</f>
        <v>27000</v>
      </c>
      <c r="F106" s="117"/>
      <c r="G106" s="117">
        <f>F106-D106</f>
        <v>-27000</v>
      </c>
      <c r="H106" s="117">
        <f>F106-E106</f>
        <v>-27000</v>
      </c>
      <c r="I106" s="45"/>
      <c r="J106" s="127"/>
      <c r="O106" s="134">
        <v>6111.77</v>
      </c>
      <c r="P106" s="129">
        <f>F106-O106</f>
        <v>-6111.77</v>
      </c>
      <c r="Q106" s="130">
        <f>P106/O106</f>
        <v>-1</v>
      </c>
    </row>
    <row r="107" spans="1:17" x14ac:dyDescent="0.3">
      <c r="A107" t="s">
        <v>88</v>
      </c>
      <c r="B107" t="s">
        <v>2180</v>
      </c>
      <c r="C107" t="s">
        <v>1568</v>
      </c>
      <c r="D107" s="117"/>
      <c r="E107" s="117"/>
      <c r="F107" s="117" t="e">
        <v>#VALUE!</v>
      </c>
      <c r="G107" s="117" t="e">
        <f>F107-D107</f>
        <v>#VALUE!</v>
      </c>
      <c r="H107" s="117" t="e">
        <f>F107-E107</f>
        <v>#VALUE!</v>
      </c>
      <c r="I107" s="45"/>
      <c r="J107" s="127"/>
      <c r="O107" s="128">
        <v>0</v>
      </c>
      <c r="P107" s="129" t="e">
        <f>F107-O107</f>
        <v>#VALUE!</v>
      </c>
      <c r="Q107" s="130" t="e">
        <f>P107/O107</f>
        <v>#VALUE!</v>
      </c>
    </row>
    <row r="108" spans="1:17" x14ac:dyDescent="0.3">
      <c r="A108" t="s">
        <v>88</v>
      </c>
      <c r="B108" t="s">
        <v>2180</v>
      </c>
      <c r="C108" t="s">
        <v>2181</v>
      </c>
      <c r="D108" s="117">
        <v>20000</v>
      </c>
      <c r="E108" s="117">
        <f>D108</f>
        <v>20000</v>
      </c>
      <c r="F108" s="117" t="e">
        <v>#VALUE!</v>
      </c>
      <c r="G108" s="117" t="e">
        <f>F108-D108</f>
        <v>#VALUE!</v>
      </c>
      <c r="H108" s="117" t="e">
        <f>F108-E108</f>
        <v>#VALUE!</v>
      </c>
      <c r="I108" s="45"/>
      <c r="J108" s="127"/>
      <c r="O108" s="128">
        <v>2251</v>
      </c>
      <c r="P108" s="129" t="e">
        <f>F108-O108</f>
        <v>#VALUE!</v>
      </c>
      <c r="Q108" s="130" t="e">
        <f>P108/O108</f>
        <v>#VALUE!</v>
      </c>
    </row>
    <row r="109" spans="1:17" x14ac:dyDescent="0.3">
      <c r="A109" t="s">
        <v>88</v>
      </c>
      <c r="B109" t="s">
        <v>2180</v>
      </c>
      <c r="C109" t="s">
        <v>2182</v>
      </c>
      <c r="D109" s="117">
        <v>3500</v>
      </c>
      <c r="E109" s="117">
        <f>D109</f>
        <v>3500</v>
      </c>
      <c r="F109" s="117"/>
      <c r="G109" s="117"/>
      <c r="H109" s="117"/>
      <c r="I109" s="45"/>
      <c r="J109" s="127"/>
      <c r="O109" s="128"/>
      <c r="P109" s="129"/>
      <c r="Q109" s="130"/>
    </row>
    <row r="110" spans="1:17" x14ac:dyDescent="0.3">
      <c r="A110" t="s">
        <v>88</v>
      </c>
      <c r="B110" t="s">
        <v>2180</v>
      </c>
      <c r="C110" t="s">
        <v>2183</v>
      </c>
      <c r="D110" s="117"/>
      <c r="E110" s="117"/>
      <c r="F110" s="117" t="e">
        <v>#VALUE!</v>
      </c>
      <c r="G110" s="117" t="e">
        <f>F110-D110</f>
        <v>#VALUE!</v>
      </c>
      <c r="H110" s="117" t="e">
        <f>F110-E110</f>
        <v>#VALUE!</v>
      </c>
      <c r="I110" s="45"/>
      <c r="J110" s="127"/>
      <c r="O110" s="128">
        <v>0</v>
      </c>
      <c r="P110" s="129" t="e">
        <f>F110-O110</f>
        <v>#VALUE!</v>
      </c>
      <c r="Q110" s="130" t="e">
        <f>P110/O110</f>
        <v>#VALUE!</v>
      </c>
    </row>
    <row r="111" spans="1:17" x14ac:dyDescent="0.3">
      <c r="C111" s="121" t="s">
        <v>2184</v>
      </c>
      <c r="D111" s="122">
        <f>SUM(D106:D110)</f>
        <v>50500</v>
      </c>
      <c r="E111" s="122">
        <f>SUM(E106:E110)</f>
        <v>50500</v>
      </c>
      <c r="F111" s="122" t="e">
        <f>SUM(F106:F110)</f>
        <v>#VALUE!</v>
      </c>
      <c r="G111" s="122" t="e">
        <f>SUM(G106:G110)</f>
        <v>#VALUE!</v>
      </c>
      <c r="H111" s="122" t="e">
        <f>SUM(H106:H110)</f>
        <v>#VALUE!</v>
      </c>
      <c r="I111" s="123"/>
      <c r="J111" s="127"/>
      <c r="O111" s="131">
        <v>13642.77</v>
      </c>
      <c r="P111" s="129" t="e">
        <f>F111-O111</f>
        <v>#VALUE!</v>
      </c>
      <c r="Q111" s="130" t="e">
        <f>P111/O111</f>
        <v>#VALUE!</v>
      </c>
    </row>
    <row r="112" spans="1:17" x14ac:dyDescent="0.3">
      <c r="D112" s="117"/>
      <c r="E112" s="117"/>
      <c r="F112" s="117"/>
      <c r="G112" s="117"/>
      <c r="H112" s="117"/>
      <c r="I112" s="45"/>
      <c r="J112" s="127"/>
      <c r="O112" s="128"/>
      <c r="P112" s="119"/>
      <c r="Q112" s="119"/>
    </row>
    <row r="113" spans="1:17" x14ac:dyDescent="0.3">
      <c r="A113" t="s">
        <v>88</v>
      </c>
      <c r="B113" t="s">
        <v>782</v>
      </c>
      <c r="C113" t="s">
        <v>784</v>
      </c>
      <c r="D113" s="117">
        <v>2200</v>
      </c>
      <c r="E113" s="117">
        <v>2632</v>
      </c>
      <c r="F113" s="117" t="e">
        <v>#VALUE!</v>
      </c>
      <c r="G113" s="117" t="e">
        <f>F113-D113</f>
        <v>#VALUE!</v>
      </c>
      <c r="H113" s="117" t="e">
        <f>F113-E113</f>
        <v>#VALUE!</v>
      </c>
      <c r="I113" s="45"/>
      <c r="J113" s="127"/>
      <c r="O113" s="128">
        <v>2576.2199999999998</v>
      </c>
      <c r="P113" s="129" t="e">
        <f>F113-O113</f>
        <v>#VALUE!</v>
      </c>
      <c r="Q113" s="130" t="e">
        <f>P113/O113</f>
        <v>#VALUE!</v>
      </c>
    </row>
    <row r="114" spans="1:17" x14ac:dyDescent="0.3">
      <c r="A114" t="s">
        <v>88</v>
      </c>
      <c r="B114" t="s">
        <v>782</v>
      </c>
      <c r="C114" t="s">
        <v>783</v>
      </c>
      <c r="D114" s="117">
        <v>5886</v>
      </c>
      <c r="E114" s="117">
        <v>5770</v>
      </c>
      <c r="F114" s="117" t="e">
        <v>#VALUE!</v>
      </c>
      <c r="G114" s="117" t="e">
        <f>F114-D114</f>
        <v>#VALUE!</v>
      </c>
      <c r="H114" s="117" t="e">
        <f>F114-E114</f>
        <v>#VALUE!</v>
      </c>
      <c r="I114" s="45"/>
      <c r="J114" s="127"/>
      <c r="O114" s="128">
        <v>8407.75</v>
      </c>
      <c r="P114" s="129" t="e">
        <f>F114-O114</f>
        <v>#VALUE!</v>
      </c>
      <c r="Q114" s="130" t="e">
        <f>P114/O114</f>
        <v>#VALUE!</v>
      </c>
    </row>
    <row r="115" spans="1:17" x14ac:dyDescent="0.3">
      <c r="C115" s="121" t="s">
        <v>2170</v>
      </c>
      <c r="D115" s="122">
        <f>SUM(D113:D114)</f>
        <v>8086</v>
      </c>
      <c r="E115" s="122">
        <f>SUM(E113:E114)</f>
        <v>8402</v>
      </c>
      <c r="F115" s="122" t="e">
        <f>SUM(F113:F114)</f>
        <v>#VALUE!</v>
      </c>
      <c r="G115" s="122" t="e">
        <f>SUM(G113:G114)</f>
        <v>#VALUE!</v>
      </c>
      <c r="H115" s="122" t="e">
        <f>SUM(H113:H114)</f>
        <v>#VALUE!</v>
      </c>
      <c r="I115" s="123"/>
      <c r="J115" s="127"/>
      <c r="O115" s="131">
        <v>10983.97</v>
      </c>
      <c r="P115" s="129" t="e">
        <f>F115-O115</f>
        <v>#VALUE!</v>
      </c>
      <c r="Q115" s="130" t="e">
        <f>P115/O115</f>
        <v>#VALUE!</v>
      </c>
    </row>
    <row r="116" spans="1:17" x14ac:dyDescent="0.3">
      <c r="D116" s="117"/>
      <c r="E116" s="117"/>
      <c r="F116" s="117"/>
      <c r="G116" s="117"/>
      <c r="H116" s="117"/>
      <c r="I116" s="45"/>
      <c r="J116" s="127"/>
      <c r="O116" s="128"/>
      <c r="P116" s="119"/>
      <c r="Q116" s="119"/>
    </row>
    <row r="117" spans="1:17" x14ac:dyDescent="0.3">
      <c r="C117" s="121" t="s">
        <v>345</v>
      </c>
      <c r="D117" s="122">
        <f>+D115+D111+D104+D101+D97+D67+D61+D49</f>
        <v>615799</v>
      </c>
      <c r="E117" s="122">
        <f>+E115+E111+E104+E101+E97+E67+E61+E49</f>
        <v>603894</v>
      </c>
      <c r="F117" s="122" t="e">
        <f>+F115+F111+F104+F101+F97+F67+F61+F49</f>
        <v>#VALUE!</v>
      </c>
      <c r="G117" s="122" t="e">
        <f>+G115+G111+G104+G101+G97+G67+G61+G49</f>
        <v>#VALUE!</v>
      </c>
      <c r="H117" s="122" t="e">
        <f>+H115+H111+H104+H101+H97+H67+H61+H49</f>
        <v>#VALUE!</v>
      </c>
      <c r="I117" s="123"/>
      <c r="J117" s="127"/>
      <c r="O117" s="131">
        <v>424182.61</v>
      </c>
      <c r="P117" s="129" t="e">
        <f>F117-O117</f>
        <v>#VALUE!</v>
      </c>
      <c r="Q117" s="130" t="e">
        <f>P117/O117</f>
        <v>#VALUE!</v>
      </c>
    </row>
    <row r="118" spans="1:17" x14ac:dyDescent="0.3">
      <c r="D118" s="117"/>
      <c r="E118" s="117"/>
      <c r="F118" s="117"/>
      <c r="G118" s="117"/>
      <c r="H118" s="117"/>
      <c r="I118" s="45"/>
      <c r="J118" s="127"/>
      <c r="O118" s="128"/>
      <c r="P118" s="119"/>
      <c r="Q118" s="119"/>
    </row>
    <row r="119" spans="1:17" x14ac:dyDescent="0.3">
      <c r="A119" t="s">
        <v>88</v>
      </c>
      <c r="B119" t="s">
        <v>788</v>
      </c>
      <c r="C119" t="s">
        <v>1151</v>
      </c>
      <c r="D119" s="117">
        <v>-2946</v>
      </c>
      <c r="E119" s="117">
        <v>-1452</v>
      </c>
      <c r="F119" s="117" t="e">
        <v>#VALUE!</v>
      </c>
      <c r="G119" s="117" t="e">
        <f>F119-D119</f>
        <v>#VALUE!</v>
      </c>
      <c r="H119" s="117" t="e">
        <f>F119-E119</f>
        <v>#VALUE!</v>
      </c>
      <c r="I119" s="45"/>
      <c r="J119" s="127"/>
      <c r="O119" s="128">
        <v>-1358.16</v>
      </c>
      <c r="P119" s="129" t="e">
        <f t="shared" ref="P119:P124" si="14">F119-O119</f>
        <v>#VALUE!</v>
      </c>
      <c r="Q119" s="130" t="e">
        <f t="shared" ref="Q119:Q124" si="15">P119/O119</f>
        <v>#VALUE!</v>
      </c>
    </row>
    <row r="120" spans="1:17" x14ac:dyDescent="0.3">
      <c r="A120" t="s">
        <v>88</v>
      </c>
      <c r="B120" t="s">
        <v>788</v>
      </c>
      <c r="C120" t="s">
        <v>2185</v>
      </c>
      <c r="D120" s="117"/>
      <c r="E120" s="117"/>
      <c r="F120" s="117" t="e">
        <v>#VALUE!</v>
      </c>
      <c r="G120" s="117" t="e">
        <f>F120-D120</f>
        <v>#VALUE!</v>
      </c>
      <c r="H120" s="117" t="e">
        <f>F120-E120</f>
        <v>#VALUE!</v>
      </c>
      <c r="I120" s="45"/>
      <c r="J120" s="127"/>
      <c r="O120" s="128">
        <v>0</v>
      </c>
      <c r="P120" s="129" t="e">
        <f t="shared" si="14"/>
        <v>#VALUE!</v>
      </c>
      <c r="Q120" s="130" t="e">
        <f t="shared" si="15"/>
        <v>#VALUE!</v>
      </c>
    </row>
    <row r="121" spans="1:17" x14ac:dyDescent="0.3">
      <c r="A121" t="s">
        <v>88</v>
      </c>
      <c r="B121" t="s">
        <v>788</v>
      </c>
      <c r="C121" t="s">
        <v>1155</v>
      </c>
      <c r="D121" s="117">
        <v>-41523</v>
      </c>
      <c r="E121" s="117">
        <v>-32500</v>
      </c>
      <c r="F121" s="117" t="e">
        <v>#VALUE!</v>
      </c>
      <c r="G121" s="117" t="e">
        <f>F121-D121</f>
        <v>#VALUE!</v>
      </c>
      <c r="H121" s="117" t="e">
        <f>F121-E121</f>
        <v>#VALUE!</v>
      </c>
      <c r="I121" s="45"/>
      <c r="J121" s="127"/>
      <c r="O121" s="128">
        <v>0</v>
      </c>
      <c r="P121" s="129" t="e">
        <f t="shared" si="14"/>
        <v>#VALUE!</v>
      </c>
      <c r="Q121" s="130" t="e">
        <f t="shared" si="15"/>
        <v>#VALUE!</v>
      </c>
    </row>
    <row r="122" spans="1:17" x14ac:dyDescent="0.3">
      <c r="A122" t="s">
        <v>88</v>
      </c>
      <c r="B122" t="s">
        <v>788</v>
      </c>
      <c r="C122" t="s">
        <v>2186</v>
      </c>
      <c r="D122" s="117"/>
      <c r="E122" s="117"/>
      <c r="F122" s="117" t="e">
        <v>#VALUE!</v>
      </c>
      <c r="G122" s="117" t="e">
        <f>F122-D122</f>
        <v>#VALUE!</v>
      </c>
      <c r="H122" s="117" t="e">
        <f>F122-E122</f>
        <v>#VALUE!</v>
      </c>
      <c r="I122" s="45"/>
      <c r="J122" s="127"/>
      <c r="O122" s="128">
        <v>0</v>
      </c>
      <c r="P122" s="129" t="e">
        <f t="shared" si="14"/>
        <v>#VALUE!</v>
      </c>
      <c r="Q122" s="130" t="e">
        <f t="shared" si="15"/>
        <v>#VALUE!</v>
      </c>
    </row>
    <row r="123" spans="1:17" x14ac:dyDescent="0.3">
      <c r="A123" t="s">
        <v>88</v>
      </c>
      <c r="B123" t="s">
        <v>788</v>
      </c>
      <c r="C123" t="s">
        <v>1159</v>
      </c>
      <c r="D123" s="117">
        <v>-8541</v>
      </c>
      <c r="E123" s="117">
        <f>D123</f>
        <v>-8541</v>
      </c>
      <c r="F123" s="117" t="e">
        <v>#VALUE!</v>
      </c>
      <c r="G123" s="117" t="e">
        <f>F123-D123</f>
        <v>#VALUE!</v>
      </c>
      <c r="H123" s="117" t="e">
        <f>F123-E123</f>
        <v>#VALUE!</v>
      </c>
      <c r="I123" s="45"/>
      <c r="J123" s="127"/>
      <c r="O123" s="128">
        <v>-7606.06</v>
      </c>
      <c r="P123" s="129" t="e">
        <f t="shared" si="14"/>
        <v>#VALUE!</v>
      </c>
      <c r="Q123" s="130" t="e">
        <f t="shared" si="15"/>
        <v>#VALUE!</v>
      </c>
    </row>
    <row r="124" spans="1:17" x14ac:dyDescent="0.3">
      <c r="C124" s="121" t="s">
        <v>2187</v>
      </c>
      <c r="D124" s="122">
        <f>SUM(D119:D123)</f>
        <v>-53010</v>
      </c>
      <c r="E124" s="122">
        <f>SUM(E119:E123)</f>
        <v>-42493</v>
      </c>
      <c r="F124" s="122" t="e">
        <f>SUM(F119:F123)</f>
        <v>#VALUE!</v>
      </c>
      <c r="G124" s="122" t="e">
        <f>SUM(G119:G123)</f>
        <v>#VALUE!</v>
      </c>
      <c r="H124" s="122" t="e">
        <f>SUM(H119:H123)</f>
        <v>#VALUE!</v>
      </c>
      <c r="I124" s="123"/>
      <c r="J124" s="127"/>
      <c r="O124" s="131">
        <v>-8964.2199999999993</v>
      </c>
      <c r="P124" s="129" t="e">
        <f t="shared" si="14"/>
        <v>#VALUE!</v>
      </c>
      <c r="Q124" s="130" t="e">
        <f t="shared" si="15"/>
        <v>#VALUE!</v>
      </c>
    </row>
    <row r="125" spans="1:17" x14ac:dyDescent="0.3">
      <c r="D125" s="117"/>
      <c r="E125" s="117"/>
      <c r="F125" s="117"/>
      <c r="G125" s="117"/>
      <c r="H125" s="117"/>
      <c r="I125" s="45"/>
      <c r="J125" s="127"/>
      <c r="O125" s="128"/>
      <c r="P125" s="119"/>
      <c r="Q125" s="119"/>
    </row>
    <row r="126" spans="1:17" x14ac:dyDescent="0.3">
      <c r="A126" t="s">
        <v>88</v>
      </c>
      <c r="B126" t="s">
        <v>2171</v>
      </c>
      <c r="C126" t="s">
        <v>346</v>
      </c>
      <c r="D126" s="117">
        <v>-4623</v>
      </c>
      <c r="E126" s="117">
        <f>D126</f>
        <v>-4623</v>
      </c>
      <c r="F126" s="117" t="e">
        <v>#VALUE!</v>
      </c>
      <c r="G126" s="117" t="e">
        <f t="shared" ref="G126:G141" si="16">F126-D126</f>
        <v>#VALUE!</v>
      </c>
      <c r="H126" s="117" t="e">
        <f t="shared" ref="H126:H141" si="17">F126-E126</f>
        <v>#VALUE!</v>
      </c>
      <c r="I126" s="45"/>
      <c r="J126" s="127"/>
      <c r="O126" s="128">
        <v>-4103.18</v>
      </c>
      <c r="P126" s="129" t="e">
        <f t="shared" ref="P126:P142" si="18">F126-O126</f>
        <v>#VALUE!</v>
      </c>
      <c r="Q126" s="130" t="e">
        <f t="shared" ref="Q126:Q142" si="19">P126/O126</f>
        <v>#VALUE!</v>
      </c>
    </row>
    <row r="127" spans="1:17" x14ac:dyDescent="0.3">
      <c r="A127" t="s">
        <v>88</v>
      </c>
      <c r="B127" t="s">
        <v>2171</v>
      </c>
      <c r="C127" t="s">
        <v>1112</v>
      </c>
      <c r="D127" s="117">
        <v>-2665</v>
      </c>
      <c r="E127" s="117">
        <f>D127</f>
        <v>-2665</v>
      </c>
      <c r="F127" s="117" t="e">
        <v>#VALUE!</v>
      </c>
      <c r="G127" s="117" t="e">
        <f t="shared" si="16"/>
        <v>#VALUE!</v>
      </c>
      <c r="H127" s="117" t="e">
        <f t="shared" si="17"/>
        <v>#VALUE!</v>
      </c>
      <c r="I127" s="45"/>
      <c r="J127" s="127"/>
      <c r="O127" s="128">
        <v>-2869.19</v>
      </c>
      <c r="P127" s="129" t="e">
        <f t="shared" si="18"/>
        <v>#VALUE!</v>
      </c>
      <c r="Q127" s="130" t="e">
        <f t="shared" si="19"/>
        <v>#VALUE!</v>
      </c>
    </row>
    <row r="128" spans="1:17" x14ac:dyDescent="0.3">
      <c r="A128" t="s">
        <v>88</v>
      </c>
      <c r="B128" t="s">
        <v>2171</v>
      </c>
      <c r="C128" t="s">
        <v>347</v>
      </c>
      <c r="D128" s="117">
        <v>-6458</v>
      </c>
      <c r="E128" s="117">
        <f>D128</f>
        <v>-6458</v>
      </c>
      <c r="F128" s="117" t="e">
        <v>#VALUE!</v>
      </c>
      <c r="G128" s="117" t="e">
        <f t="shared" si="16"/>
        <v>#VALUE!</v>
      </c>
      <c r="H128" s="117" t="e">
        <f t="shared" si="17"/>
        <v>#VALUE!</v>
      </c>
      <c r="I128" s="45"/>
      <c r="J128" s="127"/>
      <c r="O128" s="128">
        <v>-6432.08</v>
      </c>
      <c r="P128" s="129" t="e">
        <f t="shared" si="18"/>
        <v>#VALUE!</v>
      </c>
      <c r="Q128" s="130" t="e">
        <f t="shared" si="19"/>
        <v>#VALUE!</v>
      </c>
    </row>
    <row r="129" spans="1:17" x14ac:dyDescent="0.3">
      <c r="A129" t="s">
        <v>88</v>
      </c>
      <c r="B129" t="s">
        <v>2171</v>
      </c>
      <c r="C129" t="s">
        <v>1122</v>
      </c>
      <c r="D129" s="117">
        <v>-3280</v>
      </c>
      <c r="E129" s="117">
        <f>D129</f>
        <v>-3280</v>
      </c>
      <c r="F129" s="117" t="e">
        <v>#VALUE!</v>
      </c>
      <c r="G129" s="117" t="e">
        <f t="shared" si="16"/>
        <v>#VALUE!</v>
      </c>
      <c r="H129" s="117" t="e">
        <f t="shared" si="17"/>
        <v>#VALUE!</v>
      </c>
      <c r="I129" s="45"/>
      <c r="J129" s="127"/>
      <c r="O129" s="128">
        <v>-2616.9499999999998</v>
      </c>
      <c r="P129" s="129" t="e">
        <f t="shared" si="18"/>
        <v>#VALUE!</v>
      </c>
      <c r="Q129" s="130" t="e">
        <f t="shared" si="19"/>
        <v>#VALUE!</v>
      </c>
    </row>
    <row r="130" spans="1:17" x14ac:dyDescent="0.3">
      <c r="A130" t="s">
        <v>88</v>
      </c>
      <c r="B130" t="s">
        <v>2171</v>
      </c>
      <c r="C130" t="s">
        <v>877</v>
      </c>
      <c r="D130" s="117">
        <v>-3639</v>
      </c>
      <c r="E130" s="117">
        <f>D130</f>
        <v>-3639</v>
      </c>
      <c r="F130" s="117" t="e">
        <v>#VALUE!</v>
      </c>
      <c r="G130" s="117" t="e">
        <f t="shared" si="16"/>
        <v>#VALUE!</v>
      </c>
      <c r="H130" s="117" t="e">
        <f t="shared" si="17"/>
        <v>#VALUE!</v>
      </c>
      <c r="I130" s="45"/>
      <c r="J130" s="127"/>
      <c r="O130" s="128">
        <v>0</v>
      </c>
      <c r="P130" s="129" t="e">
        <f t="shared" si="18"/>
        <v>#VALUE!</v>
      </c>
      <c r="Q130" s="130" t="e">
        <f t="shared" si="19"/>
        <v>#VALUE!</v>
      </c>
    </row>
    <row r="131" spans="1:17" x14ac:dyDescent="0.3">
      <c r="A131" t="s">
        <v>88</v>
      </c>
      <c r="B131" t="s">
        <v>2171</v>
      </c>
      <c r="C131" t="s">
        <v>1578</v>
      </c>
      <c r="D131" s="117"/>
      <c r="E131" s="117"/>
      <c r="F131" s="117" t="e">
        <v>#VALUE!</v>
      </c>
      <c r="G131" s="117" t="e">
        <f t="shared" si="16"/>
        <v>#VALUE!</v>
      </c>
      <c r="H131" s="117" t="e">
        <f t="shared" si="17"/>
        <v>#VALUE!</v>
      </c>
      <c r="I131" s="45"/>
      <c r="J131" s="127"/>
      <c r="O131" s="128">
        <v>-647.5</v>
      </c>
      <c r="P131" s="129" t="e">
        <f t="shared" si="18"/>
        <v>#VALUE!</v>
      </c>
      <c r="Q131" s="130" t="e">
        <f t="shared" si="19"/>
        <v>#VALUE!</v>
      </c>
    </row>
    <row r="132" spans="1:17" x14ac:dyDescent="0.3">
      <c r="A132" t="s">
        <v>88</v>
      </c>
      <c r="B132" t="s">
        <v>2171</v>
      </c>
      <c r="C132" t="s">
        <v>1147</v>
      </c>
      <c r="D132" s="117">
        <v>-642</v>
      </c>
      <c r="E132" s="117">
        <v>-626</v>
      </c>
      <c r="F132" s="117" t="e">
        <v>#VALUE!</v>
      </c>
      <c r="G132" s="117" t="e">
        <f t="shared" si="16"/>
        <v>#VALUE!</v>
      </c>
      <c r="H132" s="117" t="e">
        <f t="shared" si="17"/>
        <v>#VALUE!</v>
      </c>
      <c r="I132" s="45"/>
      <c r="J132" s="127"/>
      <c r="O132" s="128">
        <v>-626</v>
      </c>
      <c r="P132" s="129" t="e">
        <f t="shared" si="18"/>
        <v>#VALUE!</v>
      </c>
      <c r="Q132" s="130" t="e">
        <f t="shared" si="19"/>
        <v>#VALUE!</v>
      </c>
    </row>
    <row r="133" spans="1:17" x14ac:dyDescent="0.3">
      <c r="A133" t="s">
        <v>88</v>
      </c>
      <c r="B133" t="s">
        <v>2171</v>
      </c>
      <c r="C133" t="s">
        <v>978</v>
      </c>
      <c r="D133" s="117">
        <v>-21</v>
      </c>
      <c r="E133" s="117"/>
      <c r="F133" s="117" t="e">
        <v>#VALUE!</v>
      </c>
      <c r="G133" s="117" t="e">
        <f t="shared" si="16"/>
        <v>#VALUE!</v>
      </c>
      <c r="H133" s="117" t="e">
        <f t="shared" si="17"/>
        <v>#VALUE!</v>
      </c>
      <c r="I133" s="45"/>
      <c r="J133" s="127"/>
      <c r="O133" s="128">
        <v>-16.09</v>
      </c>
      <c r="P133" s="129" t="e">
        <f t="shared" si="18"/>
        <v>#VALUE!</v>
      </c>
      <c r="Q133" s="130" t="e">
        <f t="shared" si="19"/>
        <v>#VALUE!</v>
      </c>
    </row>
    <row r="134" spans="1:17" x14ac:dyDescent="0.3">
      <c r="A134" t="s">
        <v>88</v>
      </c>
      <c r="B134" t="s">
        <v>2171</v>
      </c>
      <c r="C134" t="s">
        <v>2188</v>
      </c>
      <c r="D134" s="117"/>
      <c r="E134" s="117">
        <f>D134</f>
        <v>0</v>
      </c>
      <c r="F134" s="117" t="e">
        <v>#VALUE!</v>
      </c>
      <c r="G134" s="117" t="e">
        <f t="shared" si="16"/>
        <v>#VALUE!</v>
      </c>
      <c r="H134" s="117" t="e">
        <f t="shared" si="17"/>
        <v>#VALUE!</v>
      </c>
      <c r="I134" s="45"/>
      <c r="J134" s="127"/>
      <c r="O134" s="128">
        <v>0</v>
      </c>
      <c r="P134" s="129" t="e">
        <f t="shared" si="18"/>
        <v>#VALUE!</v>
      </c>
      <c r="Q134" s="130" t="e">
        <f t="shared" si="19"/>
        <v>#VALUE!</v>
      </c>
    </row>
    <row r="135" spans="1:17" x14ac:dyDescent="0.3">
      <c r="A135" t="s">
        <v>88</v>
      </c>
      <c r="B135" t="s">
        <v>2171</v>
      </c>
      <c r="C135" t="s">
        <v>2189</v>
      </c>
      <c r="D135" s="117"/>
      <c r="E135" s="117"/>
      <c r="F135" s="117" t="e">
        <v>#VALUE!</v>
      </c>
      <c r="G135" s="117" t="e">
        <f t="shared" si="16"/>
        <v>#VALUE!</v>
      </c>
      <c r="H135" s="117" t="e">
        <f t="shared" si="17"/>
        <v>#VALUE!</v>
      </c>
      <c r="I135" s="45"/>
      <c r="J135" s="127"/>
      <c r="O135" s="128">
        <v>0</v>
      </c>
      <c r="P135" s="129" t="e">
        <f t="shared" si="18"/>
        <v>#VALUE!</v>
      </c>
      <c r="Q135" s="130" t="e">
        <f t="shared" si="19"/>
        <v>#VALUE!</v>
      </c>
    </row>
    <row r="136" spans="1:17" x14ac:dyDescent="0.3">
      <c r="A136" t="s">
        <v>88</v>
      </c>
      <c r="B136" t="s">
        <v>2171</v>
      </c>
      <c r="C136" t="s">
        <v>1161</v>
      </c>
      <c r="D136" s="117"/>
      <c r="E136" s="117"/>
      <c r="F136" s="117" t="e">
        <v>#VALUE!</v>
      </c>
      <c r="G136" s="117" t="e">
        <f t="shared" si="16"/>
        <v>#VALUE!</v>
      </c>
      <c r="H136" s="117" t="e">
        <f t="shared" si="17"/>
        <v>#VALUE!</v>
      </c>
      <c r="I136" s="45"/>
      <c r="J136" s="127"/>
      <c r="O136" s="128">
        <v>-40</v>
      </c>
      <c r="P136" s="129" t="e">
        <f t="shared" si="18"/>
        <v>#VALUE!</v>
      </c>
      <c r="Q136" s="130" t="e">
        <f t="shared" si="19"/>
        <v>#VALUE!</v>
      </c>
    </row>
    <row r="137" spans="1:17" x14ac:dyDescent="0.3">
      <c r="A137" t="s">
        <v>88</v>
      </c>
      <c r="B137" t="s">
        <v>2171</v>
      </c>
      <c r="C137" t="s">
        <v>2190</v>
      </c>
      <c r="D137" s="117">
        <v>-1435</v>
      </c>
      <c r="E137" s="117">
        <f>D137</f>
        <v>-1435</v>
      </c>
      <c r="F137" s="117" t="e">
        <v>#VALUE!</v>
      </c>
      <c r="G137" s="117" t="e">
        <f t="shared" si="16"/>
        <v>#VALUE!</v>
      </c>
      <c r="H137" s="117" t="e">
        <f t="shared" si="17"/>
        <v>#VALUE!</v>
      </c>
      <c r="I137" s="45"/>
      <c r="J137" s="127"/>
      <c r="O137" s="128">
        <v>-977.28</v>
      </c>
      <c r="P137" s="129" t="e">
        <f t="shared" si="18"/>
        <v>#VALUE!</v>
      </c>
      <c r="Q137" s="130" t="e">
        <f t="shared" si="19"/>
        <v>#VALUE!</v>
      </c>
    </row>
    <row r="138" spans="1:17" x14ac:dyDescent="0.3">
      <c r="A138" t="s">
        <v>88</v>
      </c>
      <c r="B138" t="s">
        <v>2171</v>
      </c>
      <c r="C138" t="s">
        <v>983</v>
      </c>
      <c r="D138" s="117">
        <v>-160</v>
      </c>
      <c r="E138" s="117">
        <f>D138</f>
        <v>-160</v>
      </c>
      <c r="F138" s="117" t="e">
        <v>#VALUE!</v>
      </c>
      <c r="G138" s="117" t="e">
        <f t="shared" si="16"/>
        <v>#VALUE!</v>
      </c>
      <c r="H138" s="117" t="e">
        <f t="shared" si="17"/>
        <v>#VALUE!</v>
      </c>
      <c r="I138" s="45"/>
      <c r="J138" s="127"/>
      <c r="O138" s="128">
        <v>-254.37</v>
      </c>
      <c r="P138" s="129" t="e">
        <f t="shared" si="18"/>
        <v>#VALUE!</v>
      </c>
      <c r="Q138" s="130" t="e">
        <f t="shared" si="19"/>
        <v>#VALUE!</v>
      </c>
    </row>
    <row r="139" spans="1:17" x14ac:dyDescent="0.3">
      <c r="A139" t="s">
        <v>88</v>
      </c>
      <c r="B139" t="s">
        <v>2171</v>
      </c>
      <c r="C139" t="s">
        <v>1157</v>
      </c>
      <c r="D139" s="117"/>
      <c r="E139" s="117"/>
      <c r="F139" s="117" t="e">
        <v>#VALUE!</v>
      </c>
      <c r="G139" s="117" t="e">
        <f t="shared" si="16"/>
        <v>#VALUE!</v>
      </c>
      <c r="H139" s="117" t="e">
        <f t="shared" si="17"/>
        <v>#VALUE!</v>
      </c>
      <c r="I139" s="45"/>
      <c r="J139" s="127"/>
      <c r="O139" s="128">
        <v>-38863.760000000002</v>
      </c>
      <c r="P139" s="129" t="e">
        <f t="shared" si="18"/>
        <v>#VALUE!</v>
      </c>
      <c r="Q139" s="130" t="e">
        <f t="shared" si="19"/>
        <v>#VALUE!</v>
      </c>
    </row>
    <row r="140" spans="1:17" x14ac:dyDescent="0.3">
      <c r="A140" t="s">
        <v>88</v>
      </c>
      <c r="B140" t="s">
        <v>2171</v>
      </c>
      <c r="C140" t="s">
        <v>2191</v>
      </c>
      <c r="D140" s="117">
        <v>-800</v>
      </c>
      <c r="E140" s="117">
        <v>-3372</v>
      </c>
      <c r="F140" s="117" t="e">
        <v>#VALUE!</v>
      </c>
      <c r="G140" s="117" t="e">
        <f t="shared" si="16"/>
        <v>#VALUE!</v>
      </c>
      <c r="H140" s="117" t="e">
        <f t="shared" si="17"/>
        <v>#VALUE!</v>
      </c>
      <c r="I140" s="45"/>
      <c r="J140" s="127"/>
      <c r="O140" s="128">
        <v>-217</v>
      </c>
      <c r="P140" s="129" t="e">
        <f t="shared" si="18"/>
        <v>#VALUE!</v>
      </c>
      <c r="Q140" s="130" t="e">
        <f t="shared" si="19"/>
        <v>#VALUE!</v>
      </c>
    </row>
    <row r="141" spans="1:17" x14ac:dyDescent="0.3">
      <c r="A141" t="s">
        <v>88</v>
      </c>
      <c r="B141" t="s">
        <v>2171</v>
      </c>
      <c r="C141" t="s">
        <v>1153</v>
      </c>
      <c r="D141" s="117"/>
      <c r="E141" s="117"/>
      <c r="F141" s="117" t="e">
        <v>#VALUE!</v>
      </c>
      <c r="G141" s="117" t="e">
        <f t="shared" si="16"/>
        <v>#VALUE!</v>
      </c>
      <c r="H141" s="117" t="e">
        <f t="shared" si="17"/>
        <v>#VALUE!</v>
      </c>
      <c r="I141" s="45"/>
      <c r="J141" s="127"/>
      <c r="O141" s="128">
        <v>-551</v>
      </c>
      <c r="P141" s="129" t="e">
        <f t="shared" si="18"/>
        <v>#VALUE!</v>
      </c>
      <c r="Q141" s="130" t="e">
        <f t="shared" si="19"/>
        <v>#VALUE!</v>
      </c>
    </row>
    <row r="142" spans="1:17" x14ac:dyDescent="0.3">
      <c r="C142" s="121" t="s">
        <v>2172</v>
      </c>
      <c r="D142" s="122">
        <f>SUM(D126:D141)</f>
        <v>-23723</v>
      </c>
      <c r="E142" s="122">
        <f>SUM(E126:E141)</f>
        <v>-26258</v>
      </c>
      <c r="F142" s="122" t="e">
        <f>SUM(F126:F141)</f>
        <v>#VALUE!</v>
      </c>
      <c r="G142" s="122" t="e">
        <f>SUM(G126:G141)</f>
        <v>#VALUE!</v>
      </c>
      <c r="H142" s="122" t="e">
        <f>SUM(H126:H141)</f>
        <v>#VALUE!</v>
      </c>
      <c r="I142" s="123"/>
      <c r="J142" s="127"/>
      <c r="O142" s="131">
        <v>-58214.400000000001</v>
      </c>
      <c r="P142" s="129" t="e">
        <f t="shared" si="18"/>
        <v>#VALUE!</v>
      </c>
      <c r="Q142" s="130" t="e">
        <f t="shared" si="19"/>
        <v>#VALUE!</v>
      </c>
    </row>
    <row r="143" spans="1:17" x14ac:dyDescent="0.3">
      <c r="D143" s="117"/>
      <c r="E143" s="117"/>
      <c r="F143" s="117"/>
      <c r="G143" s="117"/>
      <c r="H143" s="117"/>
      <c r="I143" s="45"/>
      <c r="J143" s="127"/>
      <c r="O143" s="128"/>
      <c r="P143" s="119"/>
      <c r="Q143" s="119"/>
    </row>
    <row r="144" spans="1:17" x14ac:dyDescent="0.3">
      <c r="A144" t="s">
        <v>88</v>
      </c>
      <c r="B144" t="s">
        <v>355</v>
      </c>
      <c r="C144" t="s">
        <v>1130</v>
      </c>
      <c r="D144" s="117"/>
      <c r="E144" s="117"/>
      <c r="F144" s="117" t="e">
        <v>#VALUE!</v>
      </c>
      <c r="G144" s="117" t="e">
        <f>F144-D144</f>
        <v>#VALUE!</v>
      </c>
      <c r="H144" s="117" t="e">
        <f>F144-E144</f>
        <v>#VALUE!</v>
      </c>
      <c r="I144" s="45"/>
      <c r="J144" s="127"/>
      <c r="O144" s="128">
        <v>0</v>
      </c>
      <c r="P144" s="129" t="e">
        <f>F144-O144</f>
        <v>#VALUE!</v>
      </c>
      <c r="Q144" s="130" t="e">
        <f>P144/O144</f>
        <v>#VALUE!</v>
      </c>
    </row>
    <row r="145" spans="1:17" x14ac:dyDescent="0.3">
      <c r="A145" t="s">
        <v>88</v>
      </c>
      <c r="B145" t="s">
        <v>355</v>
      </c>
      <c r="C145" t="s">
        <v>1134</v>
      </c>
      <c r="D145" s="117"/>
      <c r="E145" s="117"/>
      <c r="F145" s="117" t="e">
        <v>#VALUE!</v>
      </c>
      <c r="G145" s="117" t="e">
        <f>F145-D145</f>
        <v>#VALUE!</v>
      </c>
      <c r="H145" s="117" t="e">
        <f>F145-E145</f>
        <v>#VALUE!</v>
      </c>
      <c r="I145" s="45"/>
      <c r="J145" s="127"/>
      <c r="O145" s="128">
        <v>-5000</v>
      </c>
      <c r="P145" s="129" t="e">
        <f>F145-O145</f>
        <v>#VALUE!</v>
      </c>
      <c r="Q145" s="130" t="e">
        <f>P145/O145</f>
        <v>#VALUE!</v>
      </c>
    </row>
    <row r="146" spans="1:17" x14ac:dyDescent="0.3">
      <c r="C146" s="121" t="s">
        <v>2192</v>
      </c>
      <c r="D146" s="122">
        <f>SUM(D144:D145)</f>
        <v>0</v>
      </c>
      <c r="E146" s="122">
        <f>SUM(E144:E145)</f>
        <v>0</v>
      </c>
      <c r="F146" s="122" t="e">
        <f>SUM(F144:F145)</f>
        <v>#VALUE!</v>
      </c>
      <c r="G146" s="122" t="e">
        <f>SUM(G144:G145)</f>
        <v>#VALUE!</v>
      </c>
      <c r="H146" s="122" t="e">
        <f>SUM(H144:H145)</f>
        <v>#VALUE!</v>
      </c>
      <c r="I146" s="123"/>
      <c r="J146" s="127"/>
      <c r="O146" s="131">
        <v>-5000</v>
      </c>
      <c r="P146" s="129" t="e">
        <f>F146-O146</f>
        <v>#VALUE!</v>
      </c>
      <c r="Q146" s="130" t="e">
        <f>P146/O146</f>
        <v>#VALUE!</v>
      </c>
    </row>
    <row r="147" spans="1:17" x14ac:dyDescent="0.3">
      <c r="D147" s="117"/>
      <c r="E147" s="117"/>
      <c r="F147" s="117"/>
      <c r="G147" s="117"/>
      <c r="H147" s="117"/>
      <c r="I147" s="45"/>
      <c r="J147" s="127"/>
      <c r="O147" s="128"/>
      <c r="P147" s="119"/>
      <c r="Q147" s="119"/>
    </row>
    <row r="148" spans="1:17" x14ac:dyDescent="0.3">
      <c r="C148" s="121" t="s">
        <v>2156</v>
      </c>
      <c r="D148" s="122">
        <f>+D146+D142+D124+D117</f>
        <v>539066</v>
      </c>
      <c r="E148" s="122">
        <f>+E146+E142+E124+E117</f>
        <v>535143</v>
      </c>
      <c r="F148" s="122" t="e">
        <f>+F146+F142+F124+F117</f>
        <v>#VALUE!</v>
      </c>
      <c r="G148" s="122" t="e">
        <f>+G146+G142+G124+G117</f>
        <v>#VALUE!</v>
      </c>
      <c r="H148" s="122" t="e">
        <f>+H146+H142+H124+H117</f>
        <v>#VALUE!</v>
      </c>
      <c r="I148" s="123"/>
      <c r="J148" s="135" t="e">
        <v>#VALUE!</v>
      </c>
      <c r="K148" s="127"/>
      <c r="L148" s="127"/>
      <c r="M148" s="127"/>
      <c r="O148" s="131">
        <v>352003.99</v>
      </c>
      <c r="P148" s="129" t="e">
        <f>F148-O148</f>
        <v>#VALUE!</v>
      </c>
      <c r="Q148" s="130" t="e">
        <f>P148/O148</f>
        <v>#VALUE!</v>
      </c>
    </row>
    <row r="149" spans="1:17" ht="30" x14ac:dyDescent="0.6">
      <c r="D149" s="117"/>
      <c r="E149" s="132" t="e">
        <f>IF(F149="","","CHECK")</f>
        <v>#VALUE!</v>
      </c>
      <c r="F149" s="132" t="e">
        <v>#VALUE!</v>
      </c>
      <c r="G149" s="117"/>
      <c r="H149" s="117"/>
      <c r="I149" s="45"/>
      <c r="J149" s="127"/>
      <c r="O149" s="128"/>
      <c r="P149" s="119"/>
      <c r="Q149" s="119"/>
    </row>
    <row r="150" spans="1:17" x14ac:dyDescent="0.3">
      <c r="A150" t="s">
        <v>2074</v>
      </c>
      <c r="B150" t="s">
        <v>53</v>
      </c>
      <c r="C150" t="s">
        <v>886</v>
      </c>
      <c r="D150" s="117">
        <v>52069</v>
      </c>
      <c r="E150" s="117">
        <f>D150</f>
        <v>52069</v>
      </c>
      <c r="F150" s="117" t="e">
        <v>#VALUE!</v>
      </c>
      <c r="G150" s="117" t="e">
        <f>F150-D150</f>
        <v>#VALUE!</v>
      </c>
      <c r="H150" s="117" t="e">
        <f>F150-E150</f>
        <v>#VALUE!</v>
      </c>
      <c r="I150" s="45"/>
      <c r="J150" s="127"/>
      <c r="O150" s="128">
        <v>50525.79</v>
      </c>
      <c r="P150" s="129" t="e">
        <f>F150-O150</f>
        <v>#VALUE!</v>
      </c>
      <c r="Q150" s="130" t="e">
        <f>P150/O150</f>
        <v>#VALUE!</v>
      </c>
    </row>
    <row r="151" spans="1:17" x14ac:dyDescent="0.3">
      <c r="A151" t="s">
        <v>2074</v>
      </c>
      <c r="B151" t="s">
        <v>53</v>
      </c>
      <c r="C151" t="s">
        <v>816</v>
      </c>
      <c r="D151" s="117">
        <v>4218</v>
      </c>
      <c r="E151" s="117">
        <v>3153</v>
      </c>
      <c r="F151" s="117" t="e">
        <v>#VALUE!</v>
      </c>
      <c r="G151" s="117" t="e">
        <f>F151-D151</f>
        <v>#VALUE!</v>
      </c>
      <c r="H151" s="117" t="e">
        <f>F151-E151</f>
        <v>#VALUE!</v>
      </c>
      <c r="I151" s="45"/>
      <c r="J151" s="127"/>
      <c r="O151" s="128">
        <v>3244.9</v>
      </c>
      <c r="P151" s="129" t="e">
        <f>F151-O151</f>
        <v>#VALUE!</v>
      </c>
      <c r="Q151" s="130" t="e">
        <f>P151/O151</f>
        <v>#VALUE!</v>
      </c>
    </row>
    <row r="152" spans="1:17" x14ac:dyDescent="0.3">
      <c r="A152" t="s">
        <v>2074</v>
      </c>
      <c r="B152" t="s">
        <v>53</v>
      </c>
      <c r="C152" t="s">
        <v>817</v>
      </c>
      <c r="D152" s="117">
        <v>9421</v>
      </c>
      <c r="E152" s="117">
        <v>8034</v>
      </c>
      <c r="F152" s="117" t="e">
        <v>#VALUE!</v>
      </c>
      <c r="G152" s="117" t="e">
        <f>F152-D152</f>
        <v>#VALUE!</v>
      </c>
      <c r="H152" s="117" t="e">
        <f>F152-E152</f>
        <v>#VALUE!</v>
      </c>
      <c r="I152" s="45"/>
      <c r="J152" s="127"/>
      <c r="O152" s="128">
        <v>7282.96</v>
      </c>
      <c r="P152" s="129" t="e">
        <f>F152-O152</f>
        <v>#VALUE!</v>
      </c>
      <c r="Q152" s="130" t="e">
        <f>P152/O152</f>
        <v>#VALUE!</v>
      </c>
    </row>
    <row r="153" spans="1:17" x14ac:dyDescent="0.3">
      <c r="A153" t="s">
        <v>2074</v>
      </c>
      <c r="B153" t="s">
        <v>53</v>
      </c>
      <c r="C153" t="s">
        <v>350</v>
      </c>
      <c r="D153" s="117">
        <v>820</v>
      </c>
      <c r="E153" s="117">
        <f>D153</f>
        <v>820</v>
      </c>
      <c r="F153" s="117" t="e">
        <v>#VALUE!</v>
      </c>
      <c r="G153" s="117" t="e">
        <f>F153-D153</f>
        <v>#VALUE!</v>
      </c>
      <c r="H153" s="117" t="e">
        <f>F153-E153</f>
        <v>#VALUE!</v>
      </c>
      <c r="I153" s="45"/>
      <c r="J153" s="127"/>
      <c r="O153" s="128">
        <v>0</v>
      </c>
      <c r="P153" s="129" t="e">
        <f>F153-O153</f>
        <v>#VALUE!</v>
      </c>
      <c r="Q153" s="130" t="e">
        <f>P153/O153</f>
        <v>#VALUE!</v>
      </c>
    </row>
    <row r="154" spans="1:17" x14ac:dyDescent="0.3">
      <c r="C154" s="121" t="s">
        <v>2164</v>
      </c>
      <c r="D154" s="122">
        <f>SUM(D150:D153)</f>
        <v>66528</v>
      </c>
      <c r="E154" s="122">
        <f>SUM(E150:E153)</f>
        <v>64076</v>
      </c>
      <c r="F154" s="122" t="e">
        <f>SUM(F150:F153)</f>
        <v>#VALUE!</v>
      </c>
      <c r="G154" s="122" t="e">
        <f>SUM(G150:G153)</f>
        <v>#VALUE!</v>
      </c>
      <c r="H154" s="122" t="e">
        <f>SUM(H150:H153)</f>
        <v>#VALUE!</v>
      </c>
      <c r="I154" s="123"/>
      <c r="J154" s="127"/>
      <c r="O154" s="131">
        <v>61053.65</v>
      </c>
      <c r="P154" s="129" t="e">
        <f>F154-O154</f>
        <v>#VALUE!</v>
      </c>
      <c r="Q154" s="130" t="e">
        <f>P154/O154</f>
        <v>#VALUE!</v>
      </c>
    </row>
    <row r="155" spans="1:17" x14ac:dyDescent="0.3">
      <c r="D155" s="117"/>
      <c r="E155" s="117"/>
      <c r="F155" s="117"/>
      <c r="G155" s="117"/>
      <c r="H155" s="117"/>
      <c r="I155" s="45"/>
      <c r="J155" s="127"/>
      <c r="O155" s="128"/>
      <c r="P155" s="119"/>
      <c r="Q155" s="119"/>
    </row>
    <row r="156" spans="1:17" x14ac:dyDescent="0.3">
      <c r="A156" t="s">
        <v>2074</v>
      </c>
      <c r="B156" t="s">
        <v>755</v>
      </c>
      <c r="C156" t="s">
        <v>1014</v>
      </c>
      <c r="D156" s="117">
        <v>13827</v>
      </c>
      <c r="E156" s="117">
        <f>D156</f>
        <v>13827</v>
      </c>
      <c r="F156" s="117" t="e">
        <v>#VALUE!</v>
      </c>
      <c r="G156" s="117" t="e">
        <f t="shared" ref="G156:G165" si="20">F156-D156</f>
        <v>#VALUE!</v>
      </c>
      <c r="H156" s="117" t="e">
        <f t="shared" ref="H156:H165" si="21">F156-E156</f>
        <v>#VALUE!</v>
      </c>
      <c r="I156" s="45"/>
      <c r="J156" s="127"/>
      <c r="O156" s="128">
        <v>15272.12</v>
      </c>
      <c r="P156" s="129" t="e">
        <f t="shared" ref="P156:P166" si="22">F156-O156</f>
        <v>#VALUE!</v>
      </c>
      <c r="Q156" s="130" t="e">
        <f t="shared" ref="Q156:Q166" si="23">P156/O156</f>
        <v>#VALUE!</v>
      </c>
    </row>
    <row r="157" spans="1:17" x14ac:dyDescent="0.3">
      <c r="A157" t="s">
        <v>2074</v>
      </c>
      <c r="B157" t="s">
        <v>755</v>
      </c>
      <c r="C157" t="s">
        <v>1029</v>
      </c>
      <c r="D157" s="117"/>
      <c r="E157" s="117"/>
      <c r="F157" s="117" t="e">
        <v>#VALUE!</v>
      </c>
      <c r="G157" s="117" t="e">
        <f t="shared" si="20"/>
        <v>#VALUE!</v>
      </c>
      <c r="H157" s="117" t="e">
        <f t="shared" si="21"/>
        <v>#VALUE!</v>
      </c>
      <c r="I157" s="45"/>
      <c r="J157" s="127"/>
      <c r="O157" s="128">
        <v>670.74</v>
      </c>
      <c r="P157" s="129" t="e">
        <f t="shared" si="22"/>
        <v>#VALUE!</v>
      </c>
      <c r="Q157" s="130" t="e">
        <f t="shared" si="23"/>
        <v>#VALUE!</v>
      </c>
    </row>
    <row r="158" spans="1:17" x14ac:dyDescent="0.3">
      <c r="A158" t="s">
        <v>2074</v>
      </c>
      <c r="B158" t="s">
        <v>755</v>
      </c>
      <c r="C158" t="s">
        <v>1021</v>
      </c>
      <c r="D158" s="117"/>
      <c r="E158" s="117"/>
      <c r="F158" s="117" t="e">
        <v>#VALUE!</v>
      </c>
      <c r="G158" s="117" t="e">
        <f t="shared" si="20"/>
        <v>#VALUE!</v>
      </c>
      <c r="H158" s="117" t="e">
        <f t="shared" si="21"/>
        <v>#VALUE!</v>
      </c>
      <c r="I158" s="45"/>
      <c r="J158" s="127"/>
      <c r="O158" s="128">
        <v>1047</v>
      </c>
      <c r="P158" s="129" t="e">
        <f t="shared" si="22"/>
        <v>#VALUE!</v>
      </c>
      <c r="Q158" s="130" t="e">
        <f t="shared" si="23"/>
        <v>#VALUE!</v>
      </c>
    </row>
    <row r="159" spans="1:17" x14ac:dyDescent="0.3">
      <c r="A159" t="s">
        <v>2074</v>
      </c>
      <c r="B159" t="s">
        <v>755</v>
      </c>
      <c r="C159" t="s">
        <v>1008</v>
      </c>
      <c r="D159" s="117">
        <v>3229</v>
      </c>
      <c r="E159" s="117">
        <f t="shared" ref="E159:E165" si="24">D159</f>
        <v>3229</v>
      </c>
      <c r="F159" s="117" t="e">
        <v>#VALUE!</v>
      </c>
      <c r="G159" s="117" t="e">
        <f t="shared" si="20"/>
        <v>#VALUE!</v>
      </c>
      <c r="H159" s="117" t="e">
        <f t="shared" si="21"/>
        <v>#VALUE!</v>
      </c>
      <c r="I159" s="45"/>
      <c r="J159" s="127"/>
      <c r="O159" s="128">
        <v>2458.65</v>
      </c>
      <c r="P159" s="129" t="e">
        <f t="shared" si="22"/>
        <v>#VALUE!</v>
      </c>
      <c r="Q159" s="130" t="e">
        <f t="shared" si="23"/>
        <v>#VALUE!</v>
      </c>
    </row>
    <row r="160" spans="1:17" x14ac:dyDescent="0.3">
      <c r="A160" t="s">
        <v>2074</v>
      </c>
      <c r="B160" t="s">
        <v>755</v>
      </c>
      <c r="C160" t="s">
        <v>342</v>
      </c>
      <c r="D160" s="117">
        <v>4950</v>
      </c>
      <c r="E160" s="117">
        <v>7278</v>
      </c>
      <c r="F160" s="117" t="e">
        <v>#VALUE!</v>
      </c>
      <c r="G160" s="117" t="e">
        <f t="shared" si="20"/>
        <v>#VALUE!</v>
      </c>
      <c r="H160" s="117" t="e">
        <f t="shared" si="21"/>
        <v>#VALUE!</v>
      </c>
      <c r="I160" s="45"/>
      <c r="J160" s="127"/>
      <c r="O160" s="128">
        <v>3591.9</v>
      </c>
      <c r="P160" s="129" t="e">
        <f t="shared" si="22"/>
        <v>#VALUE!</v>
      </c>
      <c r="Q160" s="130" t="e">
        <f t="shared" si="23"/>
        <v>#VALUE!</v>
      </c>
    </row>
    <row r="161" spans="1:17" x14ac:dyDescent="0.3">
      <c r="A161" t="s">
        <v>2074</v>
      </c>
      <c r="B161" t="s">
        <v>755</v>
      </c>
      <c r="C161" t="s">
        <v>341</v>
      </c>
      <c r="D161" s="117">
        <v>12100</v>
      </c>
      <c r="E161" s="117">
        <v>16353</v>
      </c>
      <c r="F161" s="117" t="e">
        <v>#VALUE!</v>
      </c>
      <c r="G161" s="117" t="e">
        <f t="shared" si="20"/>
        <v>#VALUE!</v>
      </c>
      <c r="H161" s="117" t="e">
        <f t="shared" si="21"/>
        <v>#VALUE!</v>
      </c>
      <c r="I161" s="45"/>
      <c r="J161" s="127"/>
      <c r="O161" s="128">
        <v>8521.65</v>
      </c>
      <c r="P161" s="129" t="e">
        <f t="shared" si="22"/>
        <v>#VALUE!</v>
      </c>
      <c r="Q161" s="130" t="e">
        <f t="shared" si="23"/>
        <v>#VALUE!</v>
      </c>
    </row>
    <row r="162" spans="1:17" x14ac:dyDescent="0.3">
      <c r="A162" t="s">
        <v>2074</v>
      </c>
      <c r="B162" t="s">
        <v>755</v>
      </c>
      <c r="C162" t="s">
        <v>820</v>
      </c>
      <c r="D162" s="117">
        <v>11500</v>
      </c>
      <c r="E162" s="117">
        <f t="shared" si="24"/>
        <v>11500</v>
      </c>
      <c r="F162" s="117" t="e">
        <v>#VALUE!</v>
      </c>
      <c r="G162" s="117" t="e">
        <f t="shared" si="20"/>
        <v>#VALUE!</v>
      </c>
      <c r="H162" s="117" t="e">
        <f t="shared" si="21"/>
        <v>#VALUE!</v>
      </c>
      <c r="I162" s="45"/>
      <c r="J162" s="127"/>
      <c r="O162" s="128">
        <v>11149.19</v>
      </c>
      <c r="P162" s="129" t="e">
        <f t="shared" si="22"/>
        <v>#VALUE!</v>
      </c>
      <c r="Q162" s="130" t="e">
        <f t="shared" si="23"/>
        <v>#VALUE!</v>
      </c>
    </row>
    <row r="163" spans="1:17" x14ac:dyDescent="0.3">
      <c r="A163" t="s">
        <v>2074</v>
      </c>
      <c r="B163" t="s">
        <v>755</v>
      </c>
      <c r="C163" t="s">
        <v>999</v>
      </c>
      <c r="D163" s="117">
        <v>912</v>
      </c>
      <c r="E163" s="117">
        <f t="shared" si="24"/>
        <v>912</v>
      </c>
      <c r="F163" s="117" t="e">
        <v>#VALUE!</v>
      </c>
      <c r="G163" s="117" t="e">
        <f t="shared" si="20"/>
        <v>#VALUE!</v>
      </c>
      <c r="H163" s="117" t="e">
        <f t="shared" si="21"/>
        <v>#VALUE!</v>
      </c>
      <c r="I163" s="45"/>
      <c r="J163" s="127"/>
      <c r="O163" s="128">
        <v>1065.2</v>
      </c>
      <c r="P163" s="129" t="e">
        <f t="shared" si="22"/>
        <v>#VALUE!</v>
      </c>
      <c r="Q163" s="130" t="e">
        <f t="shared" si="23"/>
        <v>#VALUE!</v>
      </c>
    </row>
    <row r="164" spans="1:17" x14ac:dyDescent="0.3">
      <c r="A164" t="s">
        <v>2074</v>
      </c>
      <c r="B164" t="s">
        <v>755</v>
      </c>
      <c r="C164" t="s">
        <v>344</v>
      </c>
      <c r="D164" s="117">
        <v>12676</v>
      </c>
      <c r="E164" s="117">
        <f t="shared" si="24"/>
        <v>12676</v>
      </c>
      <c r="F164" s="117" t="e">
        <v>#VALUE!</v>
      </c>
      <c r="G164" s="117" t="e">
        <f t="shared" si="20"/>
        <v>#VALUE!</v>
      </c>
      <c r="H164" s="117" t="e">
        <f t="shared" si="21"/>
        <v>#VALUE!</v>
      </c>
      <c r="I164" s="45"/>
      <c r="J164" s="127"/>
      <c r="O164" s="128">
        <v>11870.41</v>
      </c>
      <c r="P164" s="129" t="e">
        <f t="shared" si="22"/>
        <v>#VALUE!</v>
      </c>
      <c r="Q164" s="130" t="e">
        <f t="shared" si="23"/>
        <v>#VALUE!</v>
      </c>
    </row>
    <row r="165" spans="1:17" x14ac:dyDescent="0.3">
      <c r="A165" t="s">
        <v>2074</v>
      </c>
      <c r="B165" t="s">
        <v>755</v>
      </c>
      <c r="C165" t="s">
        <v>821</v>
      </c>
      <c r="D165" s="117">
        <v>4259</v>
      </c>
      <c r="E165" s="117">
        <f t="shared" si="24"/>
        <v>4259</v>
      </c>
      <c r="F165" s="117" t="e">
        <v>#VALUE!</v>
      </c>
      <c r="G165" s="117" t="e">
        <f t="shared" si="20"/>
        <v>#VALUE!</v>
      </c>
      <c r="H165" s="117" t="e">
        <f t="shared" si="21"/>
        <v>#VALUE!</v>
      </c>
      <c r="I165" s="45"/>
      <c r="J165" s="127"/>
      <c r="O165" s="128">
        <v>4078.35</v>
      </c>
      <c r="P165" s="129" t="e">
        <f t="shared" si="22"/>
        <v>#VALUE!</v>
      </c>
      <c r="Q165" s="130" t="e">
        <f t="shared" si="23"/>
        <v>#VALUE!</v>
      </c>
    </row>
    <row r="166" spans="1:17" x14ac:dyDescent="0.3">
      <c r="C166" s="121" t="s">
        <v>2193</v>
      </c>
      <c r="D166" s="122">
        <f>SUM(D156:D165)</f>
        <v>63453</v>
      </c>
      <c r="E166" s="122">
        <f>SUM(E156:E165)</f>
        <v>70034</v>
      </c>
      <c r="F166" s="122" t="e">
        <f>SUM(F156:F165)</f>
        <v>#VALUE!</v>
      </c>
      <c r="G166" s="122" t="e">
        <f>SUM(G156:G165)</f>
        <v>#VALUE!</v>
      </c>
      <c r="H166" s="122" t="e">
        <f>SUM(H156:H165)</f>
        <v>#VALUE!</v>
      </c>
      <c r="I166" s="123"/>
      <c r="J166" s="127"/>
      <c r="O166" s="131">
        <v>59725.21</v>
      </c>
      <c r="P166" s="129" t="e">
        <f t="shared" si="22"/>
        <v>#VALUE!</v>
      </c>
      <c r="Q166" s="130" t="e">
        <f t="shared" si="23"/>
        <v>#VALUE!</v>
      </c>
    </row>
    <row r="167" spans="1:17" x14ac:dyDescent="0.3">
      <c r="D167" s="117"/>
      <c r="E167" s="117"/>
      <c r="F167" s="117"/>
      <c r="G167" s="117"/>
      <c r="H167" s="117"/>
      <c r="I167" s="45"/>
      <c r="J167" s="127"/>
      <c r="O167" s="128"/>
      <c r="P167" s="119"/>
      <c r="Q167" s="119"/>
    </row>
    <row r="168" spans="1:17" x14ac:dyDescent="0.3">
      <c r="A168" t="s">
        <v>2074</v>
      </c>
      <c r="B168" t="s">
        <v>756</v>
      </c>
      <c r="C168" t="s">
        <v>906</v>
      </c>
      <c r="D168" s="117">
        <v>1744</v>
      </c>
      <c r="E168" s="117">
        <f>D168</f>
        <v>1744</v>
      </c>
      <c r="F168" s="117" t="e">
        <v>#VALUE!</v>
      </c>
      <c r="G168" s="117" t="e">
        <f>F168-D168</f>
        <v>#VALUE!</v>
      </c>
      <c r="H168" s="117" t="e">
        <f>F168-E168</f>
        <v>#VALUE!</v>
      </c>
      <c r="I168" s="45"/>
      <c r="J168" s="127"/>
      <c r="O168" s="128">
        <v>618.61</v>
      </c>
      <c r="P168" s="129" t="e">
        <f>F168-O168</f>
        <v>#VALUE!</v>
      </c>
      <c r="Q168" s="130" t="e">
        <f>P168/O168</f>
        <v>#VALUE!</v>
      </c>
    </row>
    <row r="169" spans="1:17" x14ac:dyDescent="0.3">
      <c r="A169" t="s">
        <v>2074</v>
      </c>
      <c r="B169" t="s">
        <v>756</v>
      </c>
      <c r="C169" t="s">
        <v>901</v>
      </c>
      <c r="D169" s="117"/>
      <c r="E169" s="117">
        <f>D169</f>
        <v>0</v>
      </c>
      <c r="F169" s="117" t="e">
        <v>#VALUE!</v>
      </c>
      <c r="G169" s="117" t="e">
        <f>F169-D169</f>
        <v>#VALUE!</v>
      </c>
      <c r="H169" s="117" t="e">
        <f>F169-E169</f>
        <v>#VALUE!</v>
      </c>
      <c r="I169" s="45"/>
      <c r="J169" s="127"/>
      <c r="O169" s="128">
        <v>827.17</v>
      </c>
      <c r="P169" s="129" t="e">
        <f>F169-O169</f>
        <v>#VALUE!</v>
      </c>
      <c r="Q169" s="130" t="e">
        <f>P169/O169</f>
        <v>#VALUE!</v>
      </c>
    </row>
    <row r="170" spans="1:17" x14ac:dyDescent="0.3">
      <c r="C170" s="121" t="s">
        <v>2167</v>
      </c>
      <c r="D170" s="122">
        <f>SUM(D168:D169)</f>
        <v>1744</v>
      </c>
      <c r="E170" s="122">
        <f>SUM(E168:E169)</f>
        <v>1744</v>
      </c>
      <c r="F170" s="122" t="e">
        <f>SUM(F168:F169)</f>
        <v>#VALUE!</v>
      </c>
      <c r="G170" s="122" t="e">
        <f>SUM(G168:G169)</f>
        <v>#VALUE!</v>
      </c>
      <c r="H170" s="122" t="e">
        <f>SUM(H168:H169)</f>
        <v>#VALUE!</v>
      </c>
      <c r="I170" s="123"/>
      <c r="J170" s="127"/>
      <c r="O170" s="131">
        <v>1445.78</v>
      </c>
      <c r="P170" s="129" t="e">
        <f>F170-O170</f>
        <v>#VALUE!</v>
      </c>
      <c r="Q170" s="130" t="e">
        <f>P170/O170</f>
        <v>#VALUE!</v>
      </c>
    </row>
    <row r="171" spans="1:17" x14ac:dyDescent="0.3">
      <c r="D171" s="117"/>
      <c r="E171" s="117"/>
      <c r="F171" s="117"/>
      <c r="G171" s="117"/>
      <c r="H171" s="117"/>
      <c r="I171" s="45"/>
      <c r="J171" s="127"/>
      <c r="O171" s="128"/>
      <c r="P171" s="119"/>
      <c r="Q171" s="119"/>
    </row>
    <row r="172" spans="1:17" x14ac:dyDescent="0.3">
      <c r="A172" t="s">
        <v>2074</v>
      </c>
      <c r="B172" t="s">
        <v>757</v>
      </c>
      <c r="C172" t="s">
        <v>990</v>
      </c>
      <c r="D172" s="117">
        <v>523</v>
      </c>
      <c r="E172" s="117">
        <f t="shared" ref="E172:E183" si="25">D172</f>
        <v>523</v>
      </c>
      <c r="F172" s="117" t="e">
        <v>#VALUE!</v>
      </c>
      <c r="G172" s="117" t="e">
        <f t="shared" ref="G172:G183" si="26">F172-D172</f>
        <v>#VALUE!</v>
      </c>
      <c r="H172" s="117" t="e">
        <f t="shared" ref="H172:H183" si="27">F172-E172</f>
        <v>#VALUE!</v>
      </c>
      <c r="I172" s="45"/>
      <c r="J172" s="127"/>
      <c r="O172" s="128">
        <v>133.29</v>
      </c>
      <c r="P172" s="129" t="e">
        <f t="shared" ref="P172:P184" si="28">F172-O172</f>
        <v>#VALUE!</v>
      </c>
      <c r="Q172" s="130" t="e">
        <f t="shared" ref="Q172:Q184" si="29">P172/O172</f>
        <v>#VALUE!</v>
      </c>
    </row>
    <row r="173" spans="1:17" x14ac:dyDescent="0.3">
      <c r="A173" t="s">
        <v>2074</v>
      </c>
      <c r="B173" t="s">
        <v>757</v>
      </c>
      <c r="C173" t="s">
        <v>352</v>
      </c>
      <c r="D173" s="117">
        <v>820</v>
      </c>
      <c r="E173" s="117">
        <f t="shared" si="25"/>
        <v>820</v>
      </c>
      <c r="F173" s="117" t="e">
        <v>#VALUE!</v>
      </c>
      <c r="G173" s="117" t="e">
        <f t="shared" si="26"/>
        <v>#VALUE!</v>
      </c>
      <c r="H173" s="117" t="e">
        <f t="shared" si="27"/>
        <v>#VALUE!</v>
      </c>
      <c r="I173" s="45"/>
      <c r="J173" s="127"/>
      <c r="O173" s="128">
        <v>-136.03</v>
      </c>
      <c r="P173" s="129" t="e">
        <f t="shared" si="28"/>
        <v>#VALUE!</v>
      </c>
      <c r="Q173" s="130" t="e">
        <f t="shared" si="29"/>
        <v>#VALUE!</v>
      </c>
    </row>
    <row r="174" spans="1:17" x14ac:dyDescent="0.3">
      <c r="A174" t="s">
        <v>2074</v>
      </c>
      <c r="B174" t="s">
        <v>757</v>
      </c>
      <c r="C174" t="s">
        <v>1048</v>
      </c>
      <c r="D174" s="117">
        <v>3075</v>
      </c>
      <c r="E174" s="117">
        <f t="shared" si="25"/>
        <v>3075</v>
      </c>
      <c r="F174" s="117" t="e">
        <v>#VALUE!</v>
      </c>
      <c r="G174" s="117" t="e">
        <f t="shared" si="26"/>
        <v>#VALUE!</v>
      </c>
      <c r="H174" s="117" t="e">
        <f t="shared" si="27"/>
        <v>#VALUE!</v>
      </c>
      <c r="I174" s="45"/>
      <c r="J174" s="127"/>
      <c r="O174" s="128">
        <v>4684.3900000000003</v>
      </c>
      <c r="P174" s="129" t="e">
        <f t="shared" si="28"/>
        <v>#VALUE!</v>
      </c>
      <c r="Q174" s="130" t="e">
        <f t="shared" si="29"/>
        <v>#VALUE!</v>
      </c>
    </row>
    <row r="175" spans="1:17" x14ac:dyDescent="0.3">
      <c r="A175" t="s">
        <v>2074</v>
      </c>
      <c r="B175" t="s">
        <v>757</v>
      </c>
      <c r="C175" t="s">
        <v>1069</v>
      </c>
      <c r="D175" s="117">
        <v>64</v>
      </c>
      <c r="E175" s="117">
        <f t="shared" si="25"/>
        <v>64</v>
      </c>
      <c r="F175" s="117" t="e">
        <v>#VALUE!</v>
      </c>
      <c r="G175" s="117" t="e">
        <f t="shared" si="26"/>
        <v>#VALUE!</v>
      </c>
      <c r="H175" s="117" t="e">
        <f t="shared" si="27"/>
        <v>#VALUE!</v>
      </c>
      <c r="I175" s="45"/>
      <c r="J175" s="127"/>
      <c r="O175" s="128">
        <v>-460.15</v>
      </c>
      <c r="P175" s="129" t="e">
        <f t="shared" si="28"/>
        <v>#VALUE!</v>
      </c>
      <c r="Q175" s="130" t="e">
        <f t="shared" si="29"/>
        <v>#VALUE!</v>
      </c>
    </row>
    <row r="176" spans="1:17" x14ac:dyDescent="0.3">
      <c r="A176" t="s">
        <v>2074</v>
      </c>
      <c r="B176" t="s">
        <v>757</v>
      </c>
      <c r="C176" t="s">
        <v>997</v>
      </c>
      <c r="D176" s="117">
        <v>211</v>
      </c>
      <c r="E176" s="117">
        <f t="shared" si="25"/>
        <v>211</v>
      </c>
      <c r="F176" s="117" t="e">
        <v>#VALUE!</v>
      </c>
      <c r="G176" s="117" t="e">
        <f t="shared" si="26"/>
        <v>#VALUE!</v>
      </c>
      <c r="H176" s="117" t="e">
        <f t="shared" si="27"/>
        <v>#VALUE!</v>
      </c>
      <c r="I176" s="45"/>
      <c r="J176" s="127"/>
      <c r="O176" s="128">
        <v>0</v>
      </c>
      <c r="P176" s="129" t="e">
        <f t="shared" si="28"/>
        <v>#VALUE!</v>
      </c>
      <c r="Q176" s="130" t="e">
        <f t="shared" si="29"/>
        <v>#VALUE!</v>
      </c>
    </row>
    <row r="177" spans="1:17" x14ac:dyDescent="0.3">
      <c r="A177" t="s">
        <v>2074</v>
      </c>
      <c r="B177" t="s">
        <v>757</v>
      </c>
      <c r="C177" t="s">
        <v>956</v>
      </c>
      <c r="D177" s="117">
        <v>0</v>
      </c>
      <c r="E177" s="117">
        <f t="shared" si="25"/>
        <v>0</v>
      </c>
      <c r="F177" s="117" t="e">
        <v>#VALUE!</v>
      </c>
      <c r="G177" s="117" t="e">
        <f t="shared" si="26"/>
        <v>#VALUE!</v>
      </c>
      <c r="H177" s="117" t="e">
        <f t="shared" si="27"/>
        <v>#VALUE!</v>
      </c>
      <c r="I177" s="45"/>
      <c r="J177" s="127"/>
      <c r="O177" s="128">
        <v>200</v>
      </c>
      <c r="P177" s="129" t="e">
        <f t="shared" si="28"/>
        <v>#VALUE!</v>
      </c>
      <c r="Q177" s="130" t="e">
        <f t="shared" si="29"/>
        <v>#VALUE!</v>
      </c>
    </row>
    <row r="178" spans="1:17" x14ac:dyDescent="0.3">
      <c r="A178" t="s">
        <v>2074</v>
      </c>
      <c r="B178" t="s">
        <v>757</v>
      </c>
      <c r="C178" s="120" t="s">
        <v>2194</v>
      </c>
      <c r="D178" s="117">
        <v>0</v>
      </c>
      <c r="E178" s="117">
        <f t="shared" si="25"/>
        <v>0</v>
      </c>
      <c r="F178" s="117" t="e">
        <v>#VALUE!</v>
      </c>
      <c r="G178" s="117" t="e">
        <f t="shared" si="26"/>
        <v>#VALUE!</v>
      </c>
      <c r="H178" s="117" t="e">
        <f t="shared" si="27"/>
        <v>#VALUE!</v>
      </c>
      <c r="I178" s="45"/>
      <c r="J178" s="127"/>
      <c r="O178" s="128"/>
      <c r="P178" s="129"/>
      <c r="Q178" s="130"/>
    </row>
    <row r="179" spans="1:17" x14ac:dyDescent="0.3">
      <c r="A179" t="s">
        <v>2074</v>
      </c>
      <c r="B179" t="s">
        <v>757</v>
      </c>
      <c r="C179" t="s">
        <v>1072</v>
      </c>
      <c r="D179" s="117">
        <v>0</v>
      </c>
      <c r="E179" s="117">
        <f t="shared" si="25"/>
        <v>0</v>
      </c>
      <c r="F179" s="117" t="e">
        <v>#VALUE!</v>
      </c>
      <c r="G179" s="117" t="e">
        <f t="shared" si="26"/>
        <v>#VALUE!</v>
      </c>
      <c r="H179" s="117" t="e">
        <f t="shared" si="27"/>
        <v>#VALUE!</v>
      </c>
      <c r="I179" s="45"/>
      <c r="J179" s="127"/>
      <c r="O179" s="128">
        <v>0</v>
      </c>
      <c r="P179" s="129" t="e">
        <f t="shared" si="28"/>
        <v>#VALUE!</v>
      </c>
      <c r="Q179" s="130" t="e">
        <f t="shared" si="29"/>
        <v>#VALUE!</v>
      </c>
    </row>
    <row r="180" spans="1:17" x14ac:dyDescent="0.3">
      <c r="A180" t="s">
        <v>2074</v>
      </c>
      <c r="B180" t="s">
        <v>757</v>
      </c>
      <c r="C180" t="s">
        <v>1066</v>
      </c>
      <c r="D180" s="117">
        <v>121</v>
      </c>
      <c r="E180" s="117">
        <f t="shared" si="25"/>
        <v>121</v>
      </c>
      <c r="F180" s="117" t="e">
        <v>#VALUE!</v>
      </c>
      <c r="G180" s="117" t="e">
        <f t="shared" si="26"/>
        <v>#VALUE!</v>
      </c>
      <c r="H180" s="117" t="e">
        <f t="shared" si="27"/>
        <v>#VALUE!</v>
      </c>
      <c r="I180" s="45"/>
      <c r="J180" s="127"/>
      <c r="O180" s="128">
        <v>16.170000000000002</v>
      </c>
      <c r="P180" s="129" t="e">
        <f t="shared" si="28"/>
        <v>#VALUE!</v>
      </c>
      <c r="Q180" s="130" t="e">
        <f t="shared" si="29"/>
        <v>#VALUE!</v>
      </c>
    </row>
    <row r="181" spans="1:17" x14ac:dyDescent="0.3">
      <c r="A181" t="s">
        <v>2074</v>
      </c>
      <c r="B181" t="s">
        <v>757</v>
      </c>
      <c r="C181" t="s">
        <v>945</v>
      </c>
      <c r="D181" s="117">
        <v>1025</v>
      </c>
      <c r="E181" s="117">
        <f t="shared" si="25"/>
        <v>1025</v>
      </c>
      <c r="F181" s="117" t="e">
        <v>#VALUE!</v>
      </c>
      <c r="G181" s="117" t="e">
        <f t="shared" si="26"/>
        <v>#VALUE!</v>
      </c>
      <c r="H181" s="117" t="e">
        <f t="shared" si="27"/>
        <v>#VALUE!</v>
      </c>
      <c r="I181" s="45"/>
      <c r="J181" s="127"/>
      <c r="O181" s="128">
        <v>1762.67</v>
      </c>
      <c r="P181" s="129" t="e">
        <f t="shared" si="28"/>
        <v>#VALUE!</v>
      </c>
      <c r="Q181" s="130" t="e">
        <f t="shared" si="29"/>
        <v>#VALUE!</v>
      </c>
    </row>
    <row r="182" spans="1:17" x14ac:dyDescent="0.3">
      <c r="A182" t="s">
        <v>2074</v>
      </c>
      <c r="B182" t="s">
        <v>757</v>
      </c>
      <c r="C182" t="s">
        <v>1097</v>
      </c>
      <c r="D182" s="117">
        <v>106</v>
      </c>
      <c r="E182" s="117">
        <f t="shared" si="25"/>
        <v>106</v>
      </c>
      <c r="F182" s="117" t="e">
        <v>#VALUE!</v>
      </c>
      <c r="G182" s="117" t="e">
        <f t="shared" si="26"/>
        <v>#VALUE!</v>
      </c>
      <c r="H182" s="117" t="e">
        <f t="shared" si="27"/>
        <v>#VALUE!</v>
      </c>
      <c r="I182" s="45"/>
      <c r="J182" s="127"/>
      <c r="O182" s="128">
        <v>287</v>
      </c>
      <c r="P182" s="129" t="e">
        <f t="shared" si="28"/>
        <v>#VALUE!</v>
      </c>
      <c r="Q182" s="130" t="e">
        <f t="shared" si="29"/>
        <v>#VALUE!</v>
      </c>
    </row>
    <row r="183" spans="1:17" x14ac:dyDescent="0.3">
      <c r="A183" t="s">
        <v>2074</v>
      </c>
      <c r="B183" t="s">
        <v>757</v>
      </c>
      <c r="C183" t="s">
        <v>1090</v>
      </c>
      <c r="D183" s="117">
        <v>4100</v>
      </c>
      <c r="E183" s="117">
        <f t="shared" si="25"/>
        <v>4100</v>
      </c>
      <c r="F183" s="117" t="e">
        <v>#VALUE!</v>
      </c>
      <c r="G183" s="117" t="e">
        <f t="shared" si="26"/>
        <v>#VALUE!</v>
      </c>
      <c r="H183" s="117" t="e">
        <f t="shared" si="27"/>
        <v>#VALUE!</v>
      </c>
      <c r="I183" s="45"/>
      <c r="J183" s="127"/>
      <c r="O183" s="128">
        <v>3032.99</v>
      </c>
      <c r="P183" s="129" t="e">
        <f t="shared" si="28"/>
        <v>#VALUE!</v>
      </c>
      <c r="Q183" s="130" t="e">
        <f t="shared" si="29"/>
        <v>#VALUE!</v>
      </c>
    </row>
    <row r="184" spans="1:17" x14ac:dyDescent="0.3">
      <c r="C184" s="121" t="s">
        <v>2168</v>
      </c>
      <c r="D184" s="122">
        <f>SUM(D172:D183)</f>
        <v>10045</v>
      </c>
      <c r="E184" s="122">
        <f>SUM(E172:E183)</f>
        <v>10045</v>
      </c>
      <c r="F184" s="122" t="e">
        <f>SUM(F172:F183)</f>
        <v>#VALUE!</v>
      </c>
      <c r="G184" s="122" t="e">
        <f>SUM(G172:G183)</f>
        <v>#VALUE!</v>
      </c>
      <c r="H184" s="122" t="e">
        <f>SUM(H172:H183)</f>
        <v>#VALUE!</v>
      </c>
      <c r="I184" s="123"/>
      <c r="J184" s="127"/>
      <c r="O184" s="131">
        <v>9520.33</v>
      </c>
      <c r="P184" s="129" t="e">
        <f t="shared" si="28"/>
        <v>#VALUE!</v>
      </c>
      <c r="Q184" s="130" t="e">
        <f t="shared" si="29"/>
        <v>#VALUE!</v>
      </c>
    </row>
    <row r="185" spans="1:17" x14ac:dyDescent="0.3">
      <c r="B185" s="120"/>
      <c r="C185" s="121"/>
      <c r="D185" s="122"/>
      <c r="E185" s="122"/>
      <c r="F185" s="122"/>
      <c r="G185" s="122"/>
      <c r="H185" s="122"/>
      <c r="I185" s="123"/>
      <c r="J185" s="127"/>
      <c r="O185" s="131"/>
      <c r="P185" s="119"/>
      <c r="Q185" s="119"/>
    </row>
    <row r="186" spans="1:17" x14ac:dyDescent="0.3">
      <c r="A186" t="s">
        <v>2074</v>
      </c>
      <c r="B186" t="s">
        <v>781</v>
      </c>
      <c r="C186" t="s">
        <v>781</v>
      </c>
      <c r="D186" s="117">
        <v>58557</v>
      </c>
      <c r="E186" s="117">
        <v>54076</v>
      </c>
      <c r="F186" s="117" t="e">
        <v>#VALUE!</v>
      </c>
      <c r="G186" s="117" t="e">
        <f>F186-D186</f>
        <v>#VALUE!</v>
      </c>
      <c r="H186" s="117" t="e">
        <f>F186-E186</f>
        <v>#VALUE!</v>
      </c>
      <c r="I186" s="45"/>
      <c r="J186" s="127"/>
      <c r="O186" s="128">
        <v>56119</v>
      </c>
      <c r="P186" s="129" t="e">
        <f>F186-O186</f>
        <v>#VALUE!</v>
      </c>
      <c r="Q186" s="130" t="e">
        <f>P186/O186</f>
        <v>#VALUE!</v>
      </c>
    </row>
    <row r="187" spans="1:17" x14ac:dyDescent="0.3">
      <c r="C187" s="121" t="s">
        <v>2169</v>
      </c>
      <c r="D187" s="122">
        <f>SUM(D186)</f>
        <v>58557</v>
      </c>
      <c r="E187" s="122">
        <f>SUM(E186)</f>
        <v>54076</v>
      </c>
      <c r="F187" s="122" t="e">
        <f>SUM(F186)</f>
        <v>#VALUE!</v>
      </c>
      <c r="G187" s="122" t="e">
        <f>SUM(G186)</f>
        <v>#VALUE!</v>
      </c>
      <c r="H187" s="122" t="e">
        <f>SUM(H186)</f>
        <v>#VALUE!</v>
      </c>
      <c r="I187" s="123"/>
      <c r="J187" s="127"/>
      <c r="O187" s="131">
        <v>56119</v>
      </c>
      <c r="P187" s="129" t="e">
        <f>F187-O187</f>
        <v>#VALUE!</v>
      </c>
      <c r="Q187" s="130" t="e">
        <f>P187/O187</f>
        <v>#VALUE!</v>
      </c>
    </row>
    <row r="188" spans="1:17" x14ac:dyDescent="0.3">
      <c r="D188" s="117"/>
      <c r="E188" s="117"/>
      <c r="F188" s="117"/>
      <c r="G188" s="117"/>
      <c r="H188" s="117"/>
      <c r="I188" s="45"/>
      <c r="J188" s="127"/>
      <c r="O188" s="128"/>
      <c r="P188" s="119"/>
      <c r="Q188" s="119"/>
    </row>
    <row r="189" spans="1:17" x14ac:dyDescent="0.3">
      <c r="A189" t="s">
        <v>2074</v>
      </c>
      <c r="B189" t="s">
        <v>2180</v>
      </c>
      <c r="C189" t="s">
        <v>1099</v>
      </c>
      <c r="D189" s="117"/>
      <c r="E189" s="117"/>
      <c r="F189" s="117" t="e">
        <v>#VALUE!</v>
      </c>
      <c r="G189" s="117" t="e">
        <f>F189-D189</f>
        <v>#VALUE!</v>
      </c>
      <c r="H189" s="117" t="e">
        <f>F189-E189</f>
        <v>#VALUE!</v>
      </c>
      <c r="I189" s="45"/>
      <c r="J189" s="127"/>
      <c r="O189" s="128">
        <v>0</v>
      </c>
      <c r="P189" s="129" t="e">
        <f>F189-O189</f>
        <v>#VALUE!</v>
      </c>
      <c r="Q189" s="130" t="e">
        <f>P189/O189</f>
        <v>#VALUE!</v>
      </c>
    </row>
    <row r="190" spans="1:17" x14ac:dyDescent="0.3">
      <c r="A190" t="s">
        <v>2074</v>
      </c>
      <c r="B190" t="s">
        <v>2180</v>
      </c>
      <c r="C190" t="s">
        <v>2195</v>
      </c>
      <c r="D190" s="117"/>
      <c r="E190" s="117"/>
      <c r="F190" s="117" t="e">
        <v>#VALUE!</v>
      </c>
      <c r="G190" s="117" t="e">
        <f>F190-D190</f>
        <v>#VALUE!</v>
      </c>
      <c r="H190" s="117" t="e">
        <f>F190-E190</f>
        <v>#VALUE!</v>
      </c>
      <c r="I190" s="45"/>
      <c r="J190" s="127"/>
      <c r="O190" s="128">
        <v>0</v>
      </c>
      <c r="P190" s="129" t="e">
        <f>F190-O190</f>
        <v>#VALUE!</v>
      </c>
      <c r="Q190" s="130" t="e">
        <f>P190/O190</f>
        <v>#VALUE!</v>
      </c>
    </row>
    <row r="191" spans="1:17" x14ac:dyDescent="0.3">
      <c r="A191" t="s">
        <v>2074</v>
      </c>
      <c r="B191" t="s">
        <v>2180</v>
      </c>
      <c r="C191" t="s">
        <v>1101</v>
      </c>
      <c r="D191" s="117">
        <v>20000</v>
      </c>
      <c r="E191" s="117">
        <f>D191</f>
        <v>20000</v>
      </c>
      <c r="F191" s="117" t="e">
        <v>#VALUE!</v>
      </c>
      <c r="G191" s="117" t="e">
        <f>F191-D191</f>
        <v>#VALUE!</v>
      </c>
      <c r="H191" s="117" t="e">
        <f>F191-E191</f>
        <v>#VALUE!</v>
      </c>
      <c r="I191" s="45"/>
      <c r="J191" s="127"/>
      <c r="O191" s="128">
        <v>0</v>
      </c>
      <c r="P191" s="129" t="e">
        <f>F191-O191</f>
        <v>#VALUE!</v>
      </c>
      <c r="Q191" s="130" t="e">
        <f>P191/O191</f>
        <v>#VALUE!</v>
      </c>
    </row>
    <row r="192" spans="1:17" x14ac:dyDescent="0.3">
      <c r="A192" t="s">
        <v>2074</v>
      </c>
      <c r="B192" t="s">
        <v>2180</v>
      </c>
      <c r="C192" t="s">
        <v>290</v>
      </c>
      <c r="D192" s="117">
        <v>0</v>
      </c>
      <c r="E192" s="117">
        <f>D192</f>
        <v>0</v>
      </c>
      <c r="F192" s="117" t="e">
        <v>#VALUE!</v>
      </c>
      <c r="G192" s="117" t="e">
        <f>F192-D192</f>
        <v>#VALUE!</v>
      </c>
      <c r="H192" s="117" t="e">
        <f>F192-E192</f>
        <v>#VALUE!</v>
      </c>
      <c r="I192" s="45"/>
      <c r="J192" s="127"/>
      <c r="O192" s="128">
        <v>15505</v>
      </c>
      <c r="P192" s="129" t="e">
        <f>F192-O192</f>
        <v>#VALUE!</v>
      </c>
      <c r="Q192" s="130" t="e">
        <f>P192/O192</f>
        <v>#VALUE!</v>
      </c>
    </row>
    <row r="193" spans="1:17" x14ac:dyDescent="0.3">
      <c r="C193" s="121" t="s">
        <v>2184</v>
      </c>
      <c r="D193" s="122">
        <f>SUM(D189:D192)</f>
        <v>20000</v>
      </c>
      <c r="E193" s="122">
        <f>SUM(E189:E192)</f>
        <v>20000</v>
      </c>
      <c r="F193" s="122" t="e">
        <f>SUM(F189:F192)</f>
        <v>#VALUE!</v>
      </c>
      <c r="G193" s="122" t="e">
        <f>SUM(G189:G192)</f>
        <v>#VALUE!</v>
      </c>
      <c r="H193" s="122" t="e">
        <f>SUM(H189:H192)</f>
        <v>#VALUE!</v>
      </c>
      <c r="I193" s="123"/>
      <c r="J193" s="127"/>
      <c r="O193" s="136">
        <v>15505</v>
      </c>
      <c r="P193" s="129" t="e">
        <f>F193-O193</f>
        <v>#VALUE!</v>
      </c>
      <c r="Q193" s="130" t="e">
        <f>P193/O193</f>
        <v>#VALUE!</v>
      </c>
    </row>
    <row r="194" spans="1:17" x14ac:dyDescent="0.3">
      <c r="D194" s="117"/>
      <c r="E194" s="117"/>
      <c r="F194" s="117"/>
      <c r="G194" s="117"/>
      <c r="H194" s="117"/>
      <c r="I194" s="45"/>
      <c r="J194" s="127"/>
      <c r="O194" s="128"/>
      <c r="P194" s="119"/>
      <c r="Q194" s="119"/>
    </row>
    <row r="195" spans="1:17" x14ac:dyDescent="0.3">
      <c r="A195" t="s">
        <v>2074</v>
      </c>
      <c r="B195" t="s">
        <v>782</v>
      </c>
      <c r="C195" t="s">
        <v>784</v>
      </c>
      <c r="D195" s="117">
        <v>23817</v>
      </c>
      <c r="E195" s="117">
        <v>28491</v>
      </c>
      <c r="F195" s="117" t="e">
        <v>#VALUE!</v>
      </c>
      <c r="G195" s="117" t="e">
        <f>F195-D195</f>
        <v>#VALUE!</v>
      </c>
      <c r="H195" s="117" t="e">
        <f>F195-E195</f>
        <v>#VALUE!</v>
      </c>
      <c r="I195" s="45"/>
      <c r="J195" s="127"/>
      <c r="O195" s="128">
        <v>30431.43</v>
      </c>
      <c r="P195" s="129" t="e">
        <f>F195-O195</f>
        <v>#VALUE!</v>
      </c>
      <c r="Q195" s="130" t="e">
        <f>P195/O195</f>
        <v>#VALUE!</v>
      </c>
    </row>
    <row r="196" spans="1:17" x14ac:dyDescent="0.3">
      <c r="A196" t="s">
        <v>2074</v>
      </c>
      <c r="B196" t="s">
        <v>782</v>
      </c>
      <c r="C196" t="s">
        <v>783</v>
      </c>
      <c r="D196" s="117">
        <v>63714</v>
      </c>
      <c r="E196" s="117">
        <v>62456</v>
      </c>
      <c r="F196" s="117" t="e">
        <v>#VALUE!</v>
      </c>
      <c r="G196" s="117" t="e">
        <f>F196-D196</f>
        <v>#VALUE!</v>
      </c>
      <c r="H196" s="117" t="e">
        <f>F196-E196</f>
        <v>#VALUE!</v>
      </c>
      <c r="I196" s="45"/>
      <c r="J196" s="127"/>
      <c r="O196" s="128">
        <v>64333.57</v>
      </c>
      <c r="P196" s="129" t="e">
        <f>F196-O196</f>
        <v>#VALUE!</v>
      </c>
      <c r="Q196" s="130" t="e">
        <f>P196/O196</f>
        <v>#VALUE!</v>
      </c>
    </row>
    <row r="197" spans="1:17" x14ac:dyDescent="0.3">
      <c r="C197" s="121" t="s">
        <v>2170</v>
      </c>
      <c r="D197" s="122">
        <f>SUM(D195:D196)</f>
        <v>87531</v>
      </c>
      <c r="E197" s="122">
        <f>SUM(E195:E196)</f>
        <v>90947</v>
      </c>
      <c r="F197" s="122" t="e">
        <f>SUM(F195:F196)</f>
        <v>#VALUE!</v>
      </c>
      <c r="G197" s="122" t="e">
        <f>SUM(G195:G196)</f>
        <v>#VALUE!</v>
      </c>
      <c r="H197" s="122" t="e">
        <f>SUM(H195:H196)</f>
        <v>#VALUE!</v>
      </c>
      <c r="I197" s="123"/>
      <c r="J197" s="127"/>
      <c r="O197" s="131">
        <v>94765</v>
      </c>
      <c r="P197" s="129" t="e">
        <f>F197-O197</f>
        <v>#VALUE!</v>
      </c>
      <c r="Q197" s="130" t="e">
        <f>P197/O197</f>
        <v>#VALUE!</v>
      </c>
    </row>
    <row r="198" spans="1:17" x14ac:dyDescent="0.3">
      <c r="D198" s="117"/>
      <c r="E198" s="117"/>
      <c r="F198" s="117"/>
      <c r="G198" s="117"/>
      <c r="H198" s="117"/>
      <c r="I198" s="45"/>
      <c r="J198" s="127"/>
      <c r="O198" s="128"/>
      <c r="P198" s="119"/>
      <c r="Q198" s="119"/>
    </row>
    <row r="199" spans="1:17" x14ac:dyDescent="0.3">
      <c r="A199" t="s">
        <v>2074</v>
      </c>
      <c r="B199" t="s">
        <v>2171</v>
      </c>
      <c r="C199" t="s">
        <v>966</v>
      </c>
      <c r="D199" s="117">
        <v>-66625</v>
      </c>
      <c r="E199" s="117">
        <v>-80000</v>
      </c>
      <c r="F199" s="117" t="e">
        <v>#VALUE!</v>
      </c>
      <c r="G199" s="117" t="e">
        <f>F199-D199</f>
        <v>#VALUE!</v>
      </c>
      <c r="H199" s="117" t="e">
        <f>F199-E199</f>
        <v>#VALUE!</v>
      </c>
      <c r="I199" s="45"/>
      <c r="J199" s="127"/>
      <c r="O199" s="128">
        <v>-72191.210000000006</v>
      </c>
      <c r="P199" s="129" t="e">
        <f>F199-O199</f>
        <v>#VALUE!</v>
      </c>
      <c r="Q199" s="130" t="e">
        <f>P199/O199</f>
        <v>#VALUE!</v>
      </c>
    </row>
    <row r="200" spans="1:17" x14ac:dyDescent="0.3">
      <c r="A200" t="s">
        <v>2074</v>
      </c>
      <c r="B200" t="s">
        <v>2171</v>
      </c>
      <c r="C200" t="s">
        <v>978</v>
      </c>
      <c r="D200" s="117">
        <v>-215</v>
      </c>
      <c r="E200" s="117">
        <v>-50</v>
      </c>
      <c r="F200" s="117" t="e">
        <v>#VALUE!</v>
      </c>
      <c r="G200" s="117" t="e">
        <f>F200-D200</f>
        <v>#VALUE!</v>
      </c>
      <c r="H200" s="117" t="e">
        <f>F200-E200</f>
        <v>#VALUE!</v>
      </c>
      <c r="I200" s="45"/>
      <c r="J200" s="127"/>
      <c r="O200" s="128">
        <v>-664.38</v>
      </c>
      <c r="P200" s="129" t="e">
        <f>F200-O200</f>
        <v>#VALUE!</v>
      </c>
      <c r="Q200" s="130" t="e">
        <f>P200/O200</f>
        <v>#VALUE!</v>
      </c>
    </row>
    <row r="201" spans="1:17" x14ac:dyDescent="0.3">
      <c r="A201" t="s">
        <v>2074</v>
      </c>
      <c r="B201" t="s">
        <v>2171</v>
      </c>
      <c r="C201" t="s">
        <v>980</v>
      </c>
      <c r="D201" s="117">
        <v>-4450</v>
      </c>
      <c r="E201" s="117">
        <v>-5532</v>
      </c>
      <c r="F201" s="117" t="e">
        <v>#VALUE!</v>
      </c>
      <c r="G201" s="117" t="e">
        <f>F201-D201</f>
        <v>#VALUE!</v>
      </c>
      <c r="H201" s="117" t="e">
        <f>F201-E201</f>
        <v>#VALUE!</v>
      </c>
      <c r="I201" s="45"/>
      <c r="J201" s="127"/>
      <c r="O201" s="128">
        <v>-4320</v>
      </c>
      <c r="P201" s="129" t="e">
        <f>F201-O201</f>
        <v>#VALUE!</v>
      </c>
      <c r="Q201" s="130" t="e">
        <f>P201/O201</f>
        <v>#VALUE!</v>
      </c>
    </row>
    <row r="202" spans="1:17" x14ac:dyDescent="0.3">
      <c r="A202" t="s">
        <v>2074</v>
      </c>
      <c r="B202" t="s">
        <v>2171</v>
      </c>
      <c r="C202" t="s">
        <v>983</v>
      </c>
      <c r="D202" s="117">
        <v>-527</v>
      </c>
      <c r="E202" s="117">
        <v>-767</v>
      </c>
      <c r="F202" s="117" t="e">
        <v>#VALUE!</v>
      </c>
      <c r="G202" s="117" t="e">
        <f>F202-D202</f>
        <v>#VALUE!</v>
      </c>
      <c r="H202" s="117" t="e">
        <f>F202-E202</f>
        <v>#VALUE!</v>
      </c>
      <c r="I202" s="45"/>
      <c r="J202" s="127"/>
      <c r="O202" s="128">
        <v>-1232.5</v>
      </c>
      <c r="P202" s="129" t="e">
        <f>F202-O202</f>
        <v>#VALUE!</v>
      </c>
      <c r="Q202" s="130" t="e">
        <f>P202/O202</f>
        <v>#VALUE!</v>
      </c>
    </row>
    <row r="203" spans="1:17" x14ac:dyDescent="0.3">
      <c r="C203" s="121" t="s">
        <v>2172</v>
      </c>
      <c r="D203" s="122">
        <f>SUM(D199:D202)</f>
        <v>-71817</v>
      </c>
      <c r="E203" s="122">
        <f>SUM(E199:E202)</f>
        <v>-86349</v>
      </c>
      <c r="F203" s="122" t="e">
        <f>SUM(F199:F202)</f>
        <v>#VALUE!</v>
      </c>
      <c r="G203" s="122" t="e">
        <f>SUM(G199:G202)</f>
        <v>#VALUE!</v>
      </c>
      <c r="H203" s="122" t="e">
        <f>SUM(H199:H202)</f>
        <v>#VALUE!</v>
      </c>
      <c r="I203" s="123"/>
      <c r="J203" s="127"/>
      <c r="O203" s="131">
        <v>-78408.09</v>
      </c>
      <c r="P203" s="129" t="e">
        <f>F203-O203</f>
        <v>#VALUE!</v>
      </c>
      <c r="Q203" s="130" t="e">
        <f>P203/O203</f>
        <v>#VALUE!</v>
      </c>
    </row>
    <row r="204" spans="1:17" x14ac:dyDescent="0.3">
      <c r="D204" s="117"/>
      <c r="E204" s="117"/>
      <c r="F204" s="117"/>
      <c r="G204" s="117"/>
      <c r="H204" s="117"/>
      <c r="I204" s="45"/>
      <c r="J204" s="127"/>
      <c r="O204" s="128"/>
      <c r="P204" s="119"/>
      <c r="Q204" s="119"/>
    </row>
    <row r="205" spans="1:17" x14ac:dyDescent="0.3">
      <c r="C205" s="121" t="s">
        <v>2196</v>
      </c>
      <c r="D205" s="122">
        <f>+D203+D197+D193+D187+D184+D170+D166+D154</f>
        <v>236041</v>
      </c>
      <c r="E205" s="122">
        <f>+E203+E197+E193+E187+E184+E170+E166+E154</f>
        <v>224573</v>
      </c>
      <c r="F205" s="122" t="e">
        <f>+F203+F197+F193+F187+F184+F170+F166+F154</f>
        <v>#VALUE!</v>
      </c>
      <c r="G205" s="122" t="e">
        <f>+G203+G197+G193+G187+G184+G170+G166+G154</f>
        <v>#VALUE!</v>
      </c>
      <c r="H205" s="122" t="e">
        <f>+H203+H197+H193+H187+H184+H170+H166+H154</f>
        <v>#VALUE!</v>
      </c>
      <c r="I205" s="123"/>
      <c r="J205" s="127"/>
      <c r="O205" s="131">
        <v>219725.88</v>
      </c>
      <c r="P205" s="129" t="e">
        <f>F205-O205</f>
        <v>#VALUE!</v>
      </c>
      <c r="Q205" s="130" t="e">
        <f>P205/O205</f>
        <v>#VALUE!</v>
      </c>
    </row>
    <row r="206" spans="1:17" x14ac:dyDescent="0.3">
      <c r="D206" s="117"/>
      <c r="E206" s="117"/>
      <c r="F206" s="117"/>
      <c r="G206" s="117"/>
      <c r="H206" s="117"/>
      <c r="I206" s="45"/>
      <c r="J206" s="127"/>
      <c r="O206" s="128"/>
      <c r="P206" s="119"/>
      <c r="Q206" s="119"/>
    </row>
    <row r="207" spans="1:17" x14ac:dyDescent="0.3">
      <c r="C207" s="137" t="s">
        <v>631</v>
      </c>
      <c r="D207" s="117"/>
      <c r="E207" s="117"/>
      <c r="F207" s="117"/>
      <c r="G207" s="117"/>
      <c r="H207" s="117"/>
      <c r="I207" s="45"/>
      <c r="J207" s="127"/>
      <c r="O207" s="128"/>
      <c r="P207" s="119"/>
      <c r="Q207" s="119"/>
    </row>
    <row r="208" spans="1:17" x14ac:dyDescent="0.3">
      <c r="D208" s="117"/>
      <c r="E208" s="117"/>
      <c r="F208" s="117"/>
      <c r="G208" s="117"/>
      <c r="H208" s="117"/>
      <c r="I208" s="45"/>
      <c r="O208" s="118"/>
      <c r="P208" s="119"/>
      <c r="Q208" s="119"/>
    </row>
    <row r="209" spans="1:17" x14ac:dyDescent="0.3">
      <c r="A209" t="s">
        <v>2197</v>
      </c>
      <c r="B209" t="s">
        <v>757</v>
      </c>
      <c r="C209" t="s">
        <v>1087</v>
      </c>
      <c r="D209" s="117">
        <v>8000</v>
      </c>
      <c r="E209" s="117">
        <v>3120</v>
      </c>
      <c r="F209" s="117" t="e">
        <v>#VALUE!</v>
      </c>
      <c r="G209" s="117" t="e">
        <f t="shared" ref="G209:G215" si="30">F209-D209</f>
        <v>#VALUE!</v>
      </c>
      <c r="H209" s="117" t="e">
        <f>F209-E209</f>
        <v>#VALUE!</v>
      </c>
      <c r="I209" s="45"/>
      <c r="J209" s="127"/>
      <c r="O209" s="128">
        <v>3536.59</v>
      </c>
      <c r="P209" s="129" t="e">
        <f t="shared" ref="P209:P216" si="31">F209-O209</f>
        <v>#VALUE!</v>
      </c>
      <c r="Q209" s="130" t="e">
        <f t="shared" ref="Q209:Q216" si="32">P209/O209</f>
        <v>#VALUE!</v>
      </c>
    </row>
    <row r="210" spans="1:17" x14ac:dyDescent="0.3">
      <c r="A210" t="s">
        <v>2197</v>
      </c>
      <c r="B210" t="s">
        <v>757</v>
      </c>
      <c r="C210" t="s">
        <v>2198</v>
      </c>
      <c r="D210" s="117"/>
      <c r="E210" s="117">
        <v>4880</v>
      </c>
      <c r="F210" s="117" t="e">
        <v>#VALUE!</v>
      </c>
      <c r="G210" s="117"/>
      <c r="H210" s="117"/>
      <c r="I210" s="45"/>
      <c r="J210" s="127"/>
      <c r="O210" s="128"/>
      <c r="P210" s="129"/>
      <c r="Q210" s="130"/>
    </row>
    <row r="211" spans="1:17" x14ac:dyDescent="0.3">
      <c r="A211" t="s">
        <v>2197</v>
      </c>
      <c r="B211" t="s">
        <v>757</v>
      </c>
      <c r="C211" t="s">
        <v>1080</v>
      </c>
      <c r="D211" s="117"/>
      <c r="E211" s="117"/>
      <c r="F211" s="117" t="e">
        <v>#VALUE!</v>
      </c>
      <c r="G211" s="117" t="e">
        <f t="shared" si="30"/>
        <v>#VALUE!</v>
      </c>
      <c r="H211" s="117" t="e">
        <f>F211-E211</f>
        <v>#VALUE!</v>
      </c>
      <c r="I211" s="45"/>
      <c r="J211" s="127"/>
      <c r="O211" s="128">
        <v>0</v>
      </c>
      <c r="P211" s="129" t="e">
        <f t="shared" si="31"/>
        <v>#VALUE!</v>
      </c>
      <c r="Q211" s="130" t="e">
        <f t="shared" si="32"/>
        <v>#VALUE!</v>
      </c>
    </row>
    <row r="212" spans="1:17" x14ac:dyDescent="0.3">
      <c r="A212" t="s">
        <v>2197</v>
      </c>
      <c r="B212" t="s">
        <v>757</v>
      </c>
      <c r="C212" t="s">
        <v>1082</v>
      </c>
      <c r="D212" s="117"/>
      <c r="E212" s="117"/>
      <c r="F212" s="117" t="e">
        <v>#VALUE!</v>
      </c>
      <c r="G212" s="117" t="e">
        <f t="shared" si="30"/>
        <v>#VALUE!</v>
      </c>
      <c r="H212" s="117" t="e">
        <f>F212-E212</f>
        <v>#VALUE!</v>
      </c>
      <c r="I212" s="45"/>
      <c r="J212" s="127"/>
      <c r="O212" s="128">
        <v>667.46</v>
      </c>
      <c r="P212" s="129" t="e">
        <f t="shared" si="31"/>
        <v>#VALUE!</v>
      </c>
      <c r="Q212" s="130" t="e">
        <f t="shared" si="32"/>
        <v>#VALUE!</v>
      </c>
    </row>
    <row r="213" spans="1:17" x14ac:dyDescent="0.3">
      <c r="A213" t="s">
        <v>2197</v>
      </c>
      <c r="B213" t="s">
        <v>757</v>
      </c>
      <c r="C213" t="s">
        <v>1078</v>
      </c>
      <c r="D213" s="117"/>
      <c r="E213" s="117"/>
      <c r="F213" s="117" t="e">
        <v>#VALUE!</v>
      </c>
      <c r="G213" s="117" t="e">
        <f t="shared" si="30"/>
        <v>#VALUE!</v>
      </c>
      <c r="H213" s="117" t="e">
        <f>F213-E213</f>
        <v>#VALUE!</v>
      </c>
      <c r="I213" s="45"/>
      <c r="J213" s="127"/>
      <c r="O213" s="128">
        <v>0</v>
      </c>
      <c r="P213" s="129" t="e">
        <f t="shared" si="31"/>
        <v>#VALUE!</v>
      </c>
      <c r="Q213" s="130" t="e">
        <f t="shared" si="32"/>
        <v>#VALUE!</v>
      </c>
    </row>
    <row r="214" spans="1:17" x14ac:dyDescent="0.3">
      <c r="A214" t="s">
        <v>2197</v>
      </c>
      <c r="B214" t="s">
        <v>757</v>
      </c>
      <c r="C214" t="s">
        <v>2199</v>
      </c>
      <c r="D214" s="117"/>
      <c r="E214" s="117"/>
      <c r="F214" s="117" t="e">
        <v>#VALUE!</v>
      </c>
      <c r="G214" s="117" t="e">
        <f t="shared" si="30"/>
        <v>#VALUE!</v>
      </c>
      <c r="H214" s="117" t="e">
        <f>F214-E214</f>
        <v>#VALUE!</v>
      </c>
      <c r="I214" s="45"/>
      <c r="J214" s="127"/>
      <c r="O214" s="128">
        <v>7073.43</v>
      </c>
      <c r="P214" s="129" t="e">
        <f t="shared" si="31"/>
        <v>#VALUE!</v>
      </c>
      <c r="Q214" s="130" t="e">
        <f t="shared" si="32"/>
        <v>#VALUE!</v>
      </c>
    </row>
    <row r="215" spans="1:17" x14ac:dyDescent="0.3">
      <c r="A215" t="s">
        <v>2197</v>
      </c>
      <c r="B215" t="s">
        <v>757</v>
      </c>
      <c r="C215" t="s">
        <v>2200</v>
      </c>
      <c r="D215" s="117"/>
      <c r="E215" s="117">
        <f>D215</f>
        <v>0</v>
      </c>
      <c r="F215" s="117" t="e">
        <v>#VALUE!</v>
      </c>
      <c r="G215" s="117" t="e">
        <f t="shared" si="30"/>
        <v>#VALUE!</v>
      </c>
      <c r="H215" s="117" t="e">
        <f>F215-E215</f>
        <v>#VALUE!</v>
      </c>
      <c r="I215" s="45"/>
      <c r="J215" s="127"/>
      <c r="O215" s="128">
        <v>2567.02</v>
      </c>
      <c r="P215" s="129" t="e">
        <f t="shared" si="31"/>
        <v>#VALUE!</v>
      </c>
      <c r="Q215" s="130" t="e">
        <f t="shared" si="32"/>
        <v>#VALUE!</v>
      </c>
    </row>
    <row r="216" spans="1:17" x14ac:dyDescent="0.3">
      <c r="C216" s="121" t="s">
        <v>2168</v>
      </c>
      <c r="D216" s="122">
        <f>SUM(D209:D215)</f>
        <v>8000</v>
      </c>
      <c r="E216" s="122">
        <f>SUM(E209:E215)</f>
        <v>8000</v>
      </c>
      <c r="F216" s="122" t="e">
        <f>SUM(F209:F215)</f>
        <v>#VALUE!</v>
      </c>
      <c r="G216" s="122" t="e">
        <f>SUM(G209:G215)</f>
        <v>#VALUE!</v>
      </c>
      <c r="H216" s="122" t="e">
        <f>SUM(H209:H215)</f>
        <v>#VALUE!</v>
      </c>
      <c r="I216" s="123"/>
      <c r="J216" s="127"/>
      <c r="O216" s="131">
        <v>29284.75</v>
      </c>
      <c r="P216" s="129" t="e">
        <f t="shared" si="31"/>
        <v>#VALUE!</v>
      </c>
      <c r="Q216" s="130" t="e">
        <f t="shared" si="32"/>
        <v>#VALUE!</v>
      </c>
    </row>
    <row r="217" spans="1:17" x14ac:dyDescent="0.3">
      <c r="C217" s="121"/>
      <c r="D217" s="122"/>
      <c r="E217" s="122"/>
      <c r="F217" s="122"/>
      <c r="G217" s="122"/>
      <c r="H217" s="122"/>
      <c r="I217" s="123"/>
      <c r="J217" s="127"/>
      <c r="O217" s="131"/>
      <c r="P217" s="129"/>
      <c r="Q217" s="130"/>
    </row>
    <row r="218" spans="1:17" x14ac:dyDescent="0.3">
      <c r="A218" t="s">
        <v>2197</v>
      </c>
      <c r="B218" t="s">
        <v>757</v>
      </c>
      <c r="C218" t="s">
        <v>1076</v>
      </c>
      <c r="D218" s="117">
        <v>17790</v>
      </c>
      <c r="E218" s="117">
        <f>D218</f>
        <v>17790</v>
      </c>
      <c r="F218" s="117" t="e">
        <v>#VALUE!</v>
      </c>
      <c r="G218" s="117" t="e">
        <f>F218-D218</f>
        <v>#VALUE!</v>
      </c>
      <c r="H218" s="117" t="e">
        <f>F218-E218</f>
        <v>#VALUE!</v>
      </c>
      <c r="I218" s="45"/>
      <c r="J218" s="127"/>
      <c r="O218" s="128">
        <v>15440.25</v>
      </c>
      <c r="P218" s="129" t="e">
        <f>F218-O218</f>
        <v>#VALUE!</v>
      </c>
      <c r="Q218" s="130" t="e">
        <f>P218/O218</f>
        <v>#VALUE!</v>
      </c>
    </row>
    <row r="219" spans="1:17" x14ac:dyDescent="0.3">
      <c r="C219" s="121" t="s">
        <v>2179</v>
      </c>
      <c r="D219" s="122">
        <f>SUM(D218:D218)</f>
        <v>17790</v>
      </c>
      <c r="E219" s="122">
        <f>SUM(E218:E218)</f>
        <v>17790</v>
      </c>
      <c r="F219" s="122" t="e">
        <f>SUM(F218:F218)</f>
        <v>#VALUE!</v>
      </c>
      <c r="G219" s="122" t="e">
        <f>SUM(G218:G218)</f>
        <v>#VALUE!</v>
      </c>
      <c r="H219" s="122" t="e">
        <f>SUM(H218:H218)</f>
        <v>#VALUE!</v>
      </c>
      <c r="I219" s="123"/>
      <c r="J219" s="127"/>
      <c r="O219" s="131">
        <v>39239.050000000003</v>
      </c>
      <c r="P219" s="129" t="e">
        <f>F219-O219</f>
        <v>#VALUE!</v>
      </c>
      <c r="Q219" s="130" t="e">
        <f>P219/O219</f>
        <v>#VALUE!</v>
      </c>
    </row>
    <row r="220" spans="1:17" x14ac:dyDescent="0.3">
      <c r="C220" s="121"/>
      <c r="D220" s="122"/>
      <c r="E220" s="122"/>
      <c r="F220" s="122"/>
      <c r="G220" s="122"/>
      <c r="H220" s="122"/>
      <c r="I220" s="123"/>
      <c r="J220" s="127"/>
      <c r="O220" s="131"/>
      <c r="P220" s="129"/>
      <c r="Q220" s="130"/>
    </row>
    <row r="221" spans="1:17" x14ac:dyDescent="0.3">
      <c r="A221" t="s">
        <v>2197</v>
      </c>
      <c r="B221" t="s">
        <v>2180</v>
      </c>
      <c r="C221" t="s">
        <v>1078</v>
      </c>
      <c r="D221" s="117">
        <v>5500</v>
      </c>
      <c r="E221" s="117">
        <f>D221</f>
        <v>5500</v>
      </c>
      <c r="F221" s="117"/>
      <c r="G221" s="117">
        <f>F221-D221</f>
        <v>-5500</v>
      </c>
      <c r="H221" s="117">
        <f>F221-E221</f>
        <v>-5500</v>
      </c>
      <c r="I221" s="45"/>
      <c r="J221" s="127"/>
      <c r="O221" s="128">
        <v>0</v>
      </c>
      <c r="P221" s="129">
        <f>F221-O221</f>
        <v>0</v>
      </c>
      <c r="Q221" s="130" t="e">
        <f>P221/O221</f>
        <v>#DIV/0!</v>
      </c>
    </row>
    <row r="222" spans="1:17" x14ac:dyDescent="0.3">
      <c r="C222" s="121" t="s">
        <v>2184</v>
      </c>
      <c r="D222" s="122">
        <f>SUM(D221:D221)</f>
        <v>5500</v>
      </c>
      <c r="E222" s="122">
        <f>SUM(E221:E221)</f>
        <v>5500</v>
      </c>
      <c r="F222" s="122">
        <f>SUM(F221:F221)</f>
        <v>0</v>
      </c>
      <c r="G222" s="122">
        <f>SUM(G221:G221)</f>
        <v>-5500</v>
      </c>
      <c r="H222" s="122">
        <f>SUM(H221:H221)</f>
        <v>-5500</v>
      </c>
      <c r="I222" s="123"/>
      <c r="J222" s="127"/>
      <c r="O222" s="136">
        <v>15505</v>
      </c>
      <c r="P222" s="129">
        <f>F222-O222</f>
        <v>-15505</v>
      </c>
      <c r="Q222" s="130">
        <f>P222/O222</f>
        <v>-1</v>
      </c>
    </row>
    <row r="223" spans="1:17" x14ac:dyDescent="0.3">
      <c r="D223" s="117"/>
      <c r="E223" s="117"/>
      <c r="F223" s="117"/>
      <c r="G223" s="117"/>
      <c r="H223" s="117"/>
      <c r="I223" s="45"/>
      <c r="J223" s="127"/>
      <c r="O223" s="128"/>
      <c r="P223" s="119"/>
      <c r="Q223" s="119"/>
    </row>
    <row r="224" spans="1:17" x14ac:dyDescent="0.3">
      <c r="A224" t="s">
        <v>2197</v>
      </c>
      <c r="B224" t="s">
        <v>2201</v>
      </c>
      <c r="C224" t="s">
        <v>973</v>
      </c>
      <c r="D224" s="117"/>
      <c r="E224" s="117">
        <f>D224</f>
        <v>0</v>
      </c>
      <c r="F224" s="117" t="e">
        <v>#VALUE!</v>
      </c>
      <c r="G224" s="117" t="e">
        <f>F224-D224</f>
        <v>#VALUE!</v>
      </c>
      <c r="H224" s="117" t="e">
        <f>F224-E224</f>
        <v>#VALUE!</v>
      </c>
      <c r="I224" s="45"/>
      <c r="J224" s="127"/>
      <c r="O224" s="128">
        <v>0</v>
      </c>
      <c r="P224" s="129" t="e">
        <f>F224-O224</f>
        <v>#VALUE!</v>
      </c>
      <c r="Q224" s="130" t="e">
        <f>P224/O224</f>
        <v>#VALUE!</v>
      </c>
    </row>
    <row r="225" spans="1:17" x14ac:dyDescent="0.3">
      <c r="C225" s="121" t="s">
        <v>2187</v>
      </c>
      <c r="D225" s="122">
        <f>SUM(D224)</f>
        <v>0</v>
      </c>
      <c r="E225" s="122">
        <f>SUM(E224)</f>
        <v>0</v>
      </c>
      <c r="F225" s="122" t="e">
        <f>SUM(F224)</f>
        <v>#VALUE!</v>
      </c>
      <c r="G225" s="122" t="e">
        <f>SUM(G224)</f>
        <v>#VALUE!</v>
      </c>
      <c r="H225" s="122" t="e">
        <f>SUM(H224)</f>
        <v>#VALUE!</v>
      </c>
      <c r="I225" s="123"/>
      <c r="J225" s="127"/>
      <c r="O225" s="131">
        <v>0</v>
      </c>
      <c r="P225" s="129" t="e">
        <f>F225-O225</f>
        <v>#VALUE!</v>
      </c>
      <c r="Q225" s="130" t="e">
        <f>P225/O225</f>
        <v>#VALUE!</v>
      </c>
    </row>
    <row r="226" spans="1:17" x14ac:dyDescent="0.3">
      <c r="D226" s="117"/>
      <c r="E226" s="117"/>
      <c r="F226" s="117"/>
      <c r="G226" s="117"/>
      <c r="H226" s="117"/>
      <c r="I226" s="45"/>
      <c r="J226" s="127"/>
      <c r="O226" s="128"/>
      <c r="P226" s="119"/>
      <c r="Q226" s="119"/>
    </row>
    <row r="227" spans="1:17" x14ac:dyDescent="0.3">
      <c r="C227" s="121" t="s">
        <v>964</v>
      </c>
      <c r="D227" s="122">
        <f>D216+D219+D222+D225</f>
        <v>31290</v>
      </c>
      <c r="E227" s="122">
        <f>E216+E219+E222+E225</f>
        <v>31290</v>
      </c>
      <c r="F227" s="122" t="e">
        <f>F216+F219+F222+F225</f>
        <v>#VALUE!</v>
      </c>
      <c r="G227" s="122" t="e">
        <f>G216+G219+G222+G225</f>
        <v>#VALUE!</v>
      </c>
      <c r="H227" s="122" t="e">
        <f>H216+H219+H222+H225</f>
        <v>#VALUE!</v>
      </c>
      <c r="I227" s="123"/>
      <c r="J227" s="127"/>
      <c r="O227" s="131">
        <v>29284.75</v>
      </c>
      <c r="P227" s="129" t="e">
        <f>F227-O227</f>
        <v>#VALUE!</v>
      </c>
      <c r="Q227" s="130" t="e">
        <f>P227/O227</f>
        <v>#VALUE!</v>
      </c>
    </row>
    <row r="228" spans="1:17" x14ac:dyDescent="0.3">
      <c r="D228" s="117"/>
      <c r="E228" s="117"/>
      <c r="F228" s="117"/>
      <c r="G228" s="117"/>
      <c r="H228" s="117"/>
      <c r="I228" s="45"/>
      <c r="J228" s="127"/>
      <c r="O228" s="128"/>
      <c r="P228" s="119"/>
      <c r="Q228" s="119"/>
    </row>
    <row r="229" spans="1:17" x14ac:dyDescent="0.3">
      <c r="C229" s="121" t="s">
        <v>2156</v>
      </c>
      <c r="D229" s="122">
        <f>D227+D205</f>
        <v>267331</v>
      </c>
      <c r="E229" s="122">
        <f>E227+E205</f>
        <v>255863</v>
      </c>
      <c r="F229" s="122" t="e">
        <f>F227+F205</f>
        <v>#VALUE!</v>
      </c>
      <c r="G229" s="122" t="e">
        <f>G227+G205</f>
        <v>#VALUE!</v>
      </c>
      <c r="H229" s="122" t="e">
        <f>H227+H205</f>
        <v>#VALUE!</v>
      </c>
      <c r="I229" s="123"/>
      <c r="J229" s="127" t="e">
        <v>#VALUE!</v>
      </c>
      <c r="O229" s="131">
        <v>249010.63</v>
      </c>
      <c r="P229" s="129" t="e">
        <f>F229-O229</f>
        <v>#VALUE!</v>
      </c>
      <c r="Q229" s="130" t="e">
        <f>P229/O229</f>
        <v>#VALUE!</v>
      </c>
    </row>
    <row r="230" spans="1:17" ht="30" x14ac:dyDescent="0.6">
      <c r="D230" s="117"/>
      <c r="E230" s="132" t="e">
        <f>IF(F230="","","CHECK")</f>
        <v>#VALUE!</v>
      </c>
      <c r="F230" s="132" t="e">
        <v>#VALUE!</v>
      </c>
      <c r="G230" s="117"/>
      <c r="H230" s="117"/>
      <c r="I230" s="45"/>
      <c r="J230" s="127"/>
      <c r="O230" s="128"/>
      <c r="P230" s="119"/>
      <c r="Q230" s="119"/>
    </row>
    <row r="231" spans="1:17" x14ac:dyDescent="0.3">
      <c r="A231" s="121" t="s">
        <v>92</v>
      </c>
      <c r="B231" t="s">
        <v>757</v>
      </c>
      <c r="C231" t="s">
        <v>2202</v>
      </c>
      <c r="D231" s="117">
        <v>40864</v>
      </c>
      <c r="E231" s="117">
        <f t="shared" ref="E231:E236" si="33">D231</f>
        <v>40864</v>
      </c>
      <c r="F231" s="117" t="e">
        <v>#VALUE!</v>
      </c>
      <c r="G231" s="117" t="e">
        <f>F231-D231</f>
        <v>#VALUE!</v>
      </c>
      <c r="H231" s="117" t="e">
        <f>F231-E231</f>
        <v>#VALUE!</v>
      </c>
      <c r="I231" s="45"/>
      <c r="J231" s="127"/>
      <c r="O231" s="128">
        <v>0</v>
      </c>
      <c r="P231" s="129" t="e">
        <f>F231-O231</f>
        <v>#VALUE!</v>
      </c>
      <c r="Q231" s="130" t="e">
        <f>P231/O231</f>
        <v>#VALUE!</v>
      </c>
    </row>
    <row r="232" spans="1:17" x14ac:dyDescent="0.3">
      <c r="A232" s="121" t="s">
        <v>92</v>
      </c>
      <c r="B232" t="s">
        <v>757</v>
      </c>
      <c r="C232" s="120" t="s">
        <v>2203</v>
      </c>
      <c r="D232" s="117">
        <v>2500</v>
      </c>
      <c r="E232" s="117">
        <f t="shared" si="33"/>
        <v>2500</v>
      </c>
      <c r="F232" s="117" t="e">
        <v>#VALUE!</v>
      </c>
      <c r="G232" s="117"/>
      <c r="H232" s="117"/>
      <c r="I232" s="45"/>
      <c r="J232" s="127"/>
      <c r="O232" s="128"/>
      <c r="P232" s="129"/>
      <c r="Q232" s="130"/>
    </row>
    <row r="233" spans="1:17" x14ac:dyDescent="0.3">
      <c r="A233" s="121" t="s">
        <v>92</v>
      </c>
      <c r="B233" t="s">
        <v>757</v>
      </c>
      <c r="C233" t="s">
        <v>871</v>
      </c>
      <c r="D233" s="117">
        <v>1179</v>
      </c>
      <c r="E233" s="117">
        <f t="shared" si="33"/>
        <v>1179</v>
      </c>
      <c r="F233" s="117" t="e">
        <v>#VALUE!</v>
      </c>
      <c r="G233" s="117" t="e">
        <f t="shared" ref="G233:G240" si="34">F233-D233</f>
        <v>#VALUE!</v>
      </c>
      <c r="H233" s="117" t="e">
        <f t="shared" ref="H233:H240" si="35">F233-E233</f>
        <v>#VALUE!</v>
      </c>
      <c r="I233" s="45"/>
      <c r="J233" s="127"/>
      <c r="O233" s="128">
        <v>1053.3399999999999</v>
      </c>
      <c r="P233" s="129" t="e">
        <f t="shared" ref="P233:P240" si="36">F233-O233</f>
        <v>#VALUE!</v>
      </c>
      <c r="Q233" s="130" t="e">
        <f t="shared" ref="Q233:Q240" si="37">P233/O233</f>
        <v>#VALUE!</v>
      </c>
    </row>
    <row r="234" spans="1:17" x14ac:dyDescent="0.3">
      <c r="A234" s="121" t="s">
        <v>92</v>
      </c>
      <c r="B234" t="s">
        <v>757</v>
      </c>
      <c r="C234" t="s">
        <v>2204</v>
      </c>
      <c r="D234" s="117">
        <v>17500</v>
      </c>
      <c r="E234" s="117">
        <f t="shared" si="33"/>
        <v>17500</v>
      </c>
      <c r="F234" s="117" t="e">
        <v>#VALUE!</v>
      </c>
      <c r="G234" s="117" t="e">
        <f>F234-D234</f>
        <v>#VALUE!</v>
      </c>
      <c r="H234" s="117" t="e">
        <f t="shared" si="35"/>
        <v>#VALUE!</v>
      </c>
      <c r="I234" s="45"/>
      <c r="J234" s="127"/>
      <c r="O234" s="128">
        <v>0</v>
      </c>
      <c r="P234" s="129" t="e">
        <f>F234-O234</f>
        <v>#VALUE!</v>
      </c>
      <c r="Q234" s="130" t="e">
        <f>P234/O234</f>
        <v>#VALUE!</v>
      </c>
    </row>
    <row r="235" spans="1:17" x14ac:dyDescent="0.3">
      <c r="A235" s="121" t="s">
        <v>92</v>
      </c>
      <c r="B235" t="s">
        <v>757</v>
      </c>
      <c r="C235" s="120" t="s">
        <v>141</v>
      </c>
      <c r="D235" s="117">
        <v>5000</v>
      </c>
      <c r="E235" s="117">
        <f t="shared" si="33"/>
        <v>5000</v>
      </c>
      <c r="F235" s="117" t="e">
        <v>#VALUE!</v>
      </c>
      <c r="G235" s="117" t="e">
        <f>F235-D235</f>
        <v>#VALUE!</v>
      </c>
      <c r="H235" s="117" t="e">
        <f t="shared" si="35"/>
        <v>#VALUE!</v>
      </c>
      <c r="I235" s="45"/>
      <c r="J235" s="127"/>
      <c r="O235" s="128"/>
      <c r="P235" s="129"/>
      <c r="Q235" s="130"/>
    </row>
    <row r="236" spans="1:17" x14ac:dyDescent="0.3">
      <c r="A236" s="121" t="s">
        <v>92</v>
      </c>
      <c r="B236" t="s">
        <v>757</v>
      </c>
      <c r="C236" t="s">
        <v>1716</v>
      </c>
      <c r="D236" s="117">
        <v>5000</v>
      </c>
      <c r="E236" s="117">
        <f t="shared" si="33"/>
        <v>5000</v>
      </c>
      <c r="F236" s="117" t="e">
        <v>#VALUE!</v>
      </c>
      <c r="G236" s="117" t="e">
        <f>F236-D236</f>
        <v>#VALUE!</v>
      </c>
      <c r="H236" s="117" t="e">
        <f t="shared" si="35"/>
        <v>#VALUE!</v>
      </c>
      <c r="I236" s="45"/>
      <c r="J236" s="127"/>
      <c r="O236" s="128">
        <v>5000</v>
      </c>
      <c r="P236" s="129" t="e">
        <f>F236-O236</f>
        <v>#VALUE!</v>
      </c>
      <c r="Q236" s="130" t="e">
        <f>P236/O236</f>
        <v>#VALUE!</v>
      </c>
    </row>
    <row r="237" spans="1:17" x14ac:dyDescent="0.3">
      <c r="A237" s="121" t="s">
        <v>92</v>
      </c>
      <c r="B237" t="s">
        <v>757</v>
      </c>
      <c r="C237" t="s">
        <v>2205</v>
      </c>
      <c r="D237" s="117"/>
      <c r="E237" s="117">
        <v>10000</v>
      </c>
      <c r="F237" s="117" t="e">
        <v>#VALUE!</v>
      </c>
      <c r="G237" s="117" t="e">
        <f>F237-D237</f>
        <v>#VALUE!</v>
      </c>
      <c r="H237" s="117" t="e">
        <f t="shared" si="35"/>
        <v>#VALUE!</v>
      </c>
      <c r="I237" s="45"/>
      <c r="J237" s="127"/>
      <c r="O237" s="128"/>
      <c r="P237" s="129"/>
      <c r="Q237" s="130"/>
    </row>
    <row r="238" spans="1:17" x14ac:dyDescent="0.3">
      <c r="A238" s="121" t="s">
        <v>92</v>
      </c>
      <c r="B238" t="s">
        <v>757</v>
      </c>
      <c r="C238" t="s">
        <v>2206</v>
      </c>
      <c r="D238" s="117"/>
      <c r="E238" s="117"/>
      <c r="F238" s="117" t="e">
        <v>#VALUE!</v>
      </c>
      <c r="G238" s="117" t="e">
        <f t="shared" si="34"/>
        <v>#VALUE!</v>
      </c>
      <c r="H238" s="117" t="e">
        <f t="shared" si="35"/>
        <v>#VALUE!</v>
      </c>
      <c r="I238" s="45"/>
      <c r="J238" s="127"/>
      <c r="O238" s="128">
        <v>0</v>
      </c>
      <c r="P238" s="129" t="e">
        <f t="shared" si="36"/>
        <v>#VALUE!</v>
      </c>
      <c r="Q238" s="130" t="e">
        <f t="shared" si="37"/>
        <v>#VALUE!</v>
      </c>
    </row>
    <row r="239" spans="1:17" x14ac:dyDescent="0.3">
      <c r="A239" s="121" t="s">
        <v>92</v>
      </c>
      <c r="B239" t="s">
        <v>757</v>
      </c>
      <c r="C239" t="s">
        <v>2207</v>
      </c>
      <c r="D239" s="117"/>
      <c r="E239" s="117"/>
      <c r="F239" s="117" t="e">
        <v>#VALUE!</v>
      </c>
      <c r="G239" s="117" t="e">
        <f t="shared" si="34"/>
        <v>#VALUE!</v>
      </c>
      <c r="H239" s="117" t="e">
        <f t="shared" si="35"/>
        <v>#VALUE!</v>
      </c>
      <c r="I239" s="45"/>
      <c r="J239" s="127"/>
      <c r="O239" s="128">
        <v>270</v>
      </c>
      <c r="P239" s="129" t="e">
        <f t="shared" si="36"/>
        <v>#VALUE!</v>
      </c>
      <c r="Q239" s="130" t="e">
        <f t="shared" si="37"/>
        <v>#VALUE!</v>
      </c>
    </row>
    <row r="240" spans="1:17" x14ac:dyDescent="0.3">
      <c r="A240" s="121" t="s">
        <v>92</v>
      </c>
      <c r="B240" t="s">
        <v>757</v>
      </c>
      <c r="C240" t="s">
        <v>1706</v>
      </c>
      <c r="D240" s="117"/>
      <c r="E240" s="117"/>
      <c r="F240" s="117" t="e">
        <v>#VALUE!</v>
      </c>
      <c r="G240" s="117" t="e">
        <f t="shared" si="34"/>
        <v>#VALUE!</v>
      </c>
      <c r="H240" s="117" t="e">
        <f t="shared" si="35"/>
        <v>#VALUE!</v>
      </c>
      <c r="I240" s="45"/>
      <c r="J240" s="127"/>
      <c r="O240" s="128">
        <v>0</v>
      </c>
      <c r="P240" s="129" t="e">
        <f t="shared" si="36"/>
        <v>#VALUE!</v>
      </c>
      <c r="Q240" s="130" t="e">
        <f t="shared" si="37"/>
        <v>#VALUE!</v>
      </c>
    </row>
    <row r="241" spans="1:17" x14ac:dyDescent="0.3">
      <c r="C241" s="121" t="s">
        <v>2168</v>
      </c>
      <c r="D241" s="122">
        <f>SUM(D231:D240)</f>
        <v>72043</v>
      </c>
      <c r="E241" s="122">
        <f>SUM(E231:E240)</f>
        <v>82043</v>
      </c>
      <c r="F241" s="122" t="e">
        <f>SUM(F231:F240)</f>
        <v>#VALUE!</v>
      </c>
      <c r="G241" s="122" t="e">
        <f>SUM(G231:G240)</f>
        <v>#VALUE!</v>
      </c>
      <c r="H241" s="122" t="e">
        <f>SUM(H231:H240)</f>
        <v>#VALUE!</v>
      </c>
      <c r="I241" s="123"/>
      <c r="J241" s="127"/>
      <c r="O241" s="131">
        <v>6409.74</v>
      </c>
      <c r="P241" s="129" t="e">
        <f>F241-O241</f>
        <v>#VALUE!</v>
      </c>
      <c r="Q241" s="130" t="e">
        <f>P241/O241</f>
        <v>#VALUE!</v>
      </c>
    </row>
    <row r="242" spans="1:17" x14ac:dyDescent="0.3">
      <c r="D242" s="117"/>
      <c r="E242" s="117"/>
      <c r="F242" s="117"/>
      <c r="G242" s="117"/>
      <c r="H242" s="117"/>
      <c r="I242" s="45"/>
      <c r="J242" s="127"/>
      <c r="O242" s="128"/>
      <c r="P242" s="119"/>
      <c r="Q242" s="119"/>
    </row>
    <row r="243" spans="1:17" x14ac:dyDescent="0.3">
      <c r="A243" s="121" t="s">
        <v>92</v>
      </c>
      <c r="B243" t="s">
        <v>1075</v>
      </c>
      <c r="C243" t="s">
        <v>1694</v>
      </c>
      <c r="D243" s="117">
        <v>16623</v>
      </c>
      <c r="E243" s="117">
        <f>D243</f>
        <v>16623</v>
      </c>
      <c r="F243" s="117" t="e">
        <v>#VALUE!</v>
      </c>
      <c r="G243" s="117" t="e">
        <f>F243-D243</f>
        <v>#VALUE!</v>
      </c>
      <c r="H243" s="117" t="e">
        <f>F243-E243</f>
        <v>#VALUE!</v>
      </c>
      <c r="I243" s="45"/>
      <c r="J243" s="127"/>
      <c r="O243" s="128">
        <v>12064.88</v>
      </c>
      <c r="P243" s="129" t="e">
        <f>F243-O243</f>
        <v>#VALUE!</v>
      </c>
      <c r="Q243" s="130" t="e">
        <f>P243/O243</f>
        <v>#VALUE!</v>
      </c>
    </row>
    <row r="244" spans="1:17" x14ac:dyDescent="0.3">
      <c r="A244" s="121" t="s">
        <v>92</v>
      </c>
      <c r="B244" t="s">
        <v>1075</v>
      </c>
      <c r="C244" s="120" t="s">
        <v>1510</v>
      </c>
      <c r="D244" s="117">
        <v>4131</v>
      </c>
      <c r="E244" s="117">
        <f>D244</f>
        <v>4131</v>
      </c>
      <c r="F244" s="117" t="e">
        <v>#VALUE!</v>
      </c>
      <c r="G244" s="117" t="e">
        <f>F244-D244</f>
        <v>#VALUE!</v>
      </c>
      <c r="H244" s="117" t="e">
        <f>F244-E244</f>
        <v>#VALUE!</v>
      </c>
      <c r="I244" s="45"/>
      <c r="J244" s="127"/>
      <c r="O244" s="128">
        <v>0</v>
      </c>
      <c r="P244" s="129" t="e">
        <f>F244-O244</f>
        <v>#VALUE!</v>
      </c>
      <c r="Q244" s="130" t="e">
        <f>P244/O244</f>
        <v>#VALUE!</v>
      </c>
    </row>
    <row r="245" spans="1:17" x14ac:dyDescent="0.3">
      <c r="A245" s="121" t="s">
        <v>92</v>
      </c>
      <c r="B245" t="s">
        <v>1075</v>
      </c>
      <c r="C245" t="s">
        <v>1677</v>
      </c>
      <c r="D245" s="117">
        <v>3801</v>
      </c>
      <c r="E245" s="117">
        <f>D245</f>
        <v>3801</v>
      </c>
      <c r="F245" s="117" t="e">
        <v>#VALUE!</v>
      </c>
      <c r="G245" s="117" t="e">
        <f>F245-D245</f>
        <v>#VALUE!</v>
      </c>
      <c r="H245" s="117" t="e">
        <f>F245-E245</f>
        <v>#VALUE!</v>
      </c>
      <c r="I245" s="45"/>
      <c r="J245" s="127"/>
      <c r="O245" s="128">
        <v>0</v>
      </c>
      <c r="P245" s="129" t="e">
        <f>F245-O245</f>
        <v>#VALUE!</v>
      </c>
      <c r="Q245" s="130" t="e">
        <f>P245/O245</f>
        <v>#VALUE!</v>
      </c>
    </row>
    <row r="246" spans="1:17" x14ac:dyDescent="0.3">
      <c r="A246" s="121" t="s">
        <v>92</v>
      </c>
      <c r="B246" t="s">
        <v>1075</v>
      </c>
      <c r="C246" t="s">
        <v>1730</v>
      </c>
      <c r="D246" s="117">
        <v>68000</v>
      </c>
      <c r="E246" s="117">
        <v>67918</v>
      </c>
      <c r="F246" s="117" t="e">
        <v>#VALUE!</v>
      </c>
      <c r="G246" s="117" t="e">
        <f>F246-D246</f>
        <v>#VALUE!</v>
      </c>
      <c r="H246" s="117" t="e">
        <f>F246-E246</f>
        <v>#VALUE!</v>
      </c>
      <c r="I246" s="45"/>
      <c r="J246" s="127"/>
      <c r="O246" s="128">
        <v>0</v>
      </c>
      <c r="P246" s="129" t="e">
        <f>F246-O246</f>
        <v>#VALUE!</v>
      </c>
      <c r="Q246" s="130" t="e">
        <f>P246/O246</f>
        <v>#VALUE!</v>
      </c>
    </row>
    <row r="247" spans="1:17" x14ac:dyDescent="0.3">
      <c r="C247" s="121" t="s">
        <v>2208</v>
      </c>
      <c r="D247" s="122">
        <f>SUM(D243:D246)</f>
        <v>92555</v>
      </c>
      <c r="E247" s="122">
        <f>SUM(E243:E246)</f>
        <v>92473</v>
      </c>
      <c r="F247" s="122" t="e">
        <f>SUM(F243:F246)</f>
        <v>#VALUE!</v>
      </c>
      <c r="G247" s="122" t="e">
        <f>SUM(G243:G246)</f>
        <v>#VALUE!</v>
      </c>
      <c r="H247" s="122" t="e">
        <f>SUM(H243:H246)</f>
        <v>#VALUE!</v>
      </c>
      <c r="I247" s="123"/>
      <c r="J247" s="127"/>
      <c r="O247" s="131">
        <v>12064.88</v>
      </c>
      <c r="P247" s="129" t="e">
        <f>F247-O247</f>
        <v>#VALUE!</v>
      </c>
      <c r="Q247" s="130" t="e">
        <f>P247/O247</f>
        <v>#VALUE!</v>
      </c>
    </row>
    <row r="248" spans="1:17" x14ac:dyDescent="0.3">
      <c r="D248" s="117"/>
      <c r="E248" s="117"/>
      <c r="F248" s="117"/>
      <c r="G248" s="117"/>
      <c r="H248" s="117"/>
      <c r="I248" s="45"/>
      <c r="J248" s="127"/>
      <c r="O248" s="128"/>
      <c r="P248" s="119"/>
      <c r="Q248" s="119"/>
    </row>
    <row r="249" spans="1:17" x14ac:dyDescent="0.3">
      <c r="A249" s="121" t="s">
        <v>92</v>
      </c>
      <c r="B249" t="s">
        <v>1075</v>
      </c>
      <c r="C249" s="120" t="s">
        <v>2209</v>
      </c>
      <c r="D249" s="117"/>
      <c r="E249" s="117">
        <v>6699</v>
      </c>
      <c r="F249" s="117"/>
      <c r="G249" s="117">
        <f>F249-D249</f>
        <v>0</v>
      </c>
      <c r="H249" s="117">
        <f>F249-E249</f>
        <v>-6699</v>
      </c>
      <c r="I249" s="45"/>
      <c r="J249" s="127"/>
      <c r="O249" s="128"/>
      <c r="P249" s="129"/>
      <c r="Q249" s="130"/>
    </row>
    <row r="250" spans="1:17" x14ac:dyDescent="0.3">
      <c r="C250" s="121" t="s">
        <v>2184</v>
      </c>
      <c r="D250" s="122">
        <f>SUM(D249)</f>
        <v>0</v>
      </c>
      <c r="E250" s="122">
        <f>SUM(E249)</f>
        <v>6699</v>
      </c>
      <c r="F250" s="122">
        <f>SUM(F249)</f>
        <v>0</v>
      </c>
      <c r="G250" s="122">
        <f>SUM(G249)</f>
        <v>0</v>
      </c>
      <c r="H250" s="122">
        <f>SUM(H249)</f>
        <v>-6699</v>
      </c>
      <c r="I250" s="123"/>
      <c r="J250" s="127"/>
      <c r="O250" s="136">
        <v>15505</v>
      </c>
      <c r="P250" s="129">
        <f>F250-O250</f>
        <v>-15505</v>
      </c>
      <c r="Q250" s="130">
        <f>P250/O250</f>
        <v>-1</v>
      </c>
    </row>
    <row r="251" spans="1:17" x14ac:dyDescent="0.3">
      <c r="D251" s="117"/>
      <c r="E251" s="117"/>
      <c r="F251" s="117"/>
      <c r="G251" s="117"/>
      <c r="H251" s="117"/>
      <c r="I251" s="45"/>
      <c r="J251" s="127"/>
      <c r="O251" s="128"/>
      <c r="P251" s="119"/>
      <c r="Q251" s="119"/>
    </row>
    <row r="252" spans="1:17" x14ac:dyDescent="0.3">
      <c r="A252" s="121" t="s">
        <v>92</v>
      </c>
      <c r="B252" t="s">
        <v>781</v>
      </c>
      <c r="C252" t="s">
        <v>781</v>
      </c>
      <c r="D252" s="117">
        <v>11025</v>
      </c>
      <c r="E252" s="117"/>
      <c r="F252" s="117" t="e">
        <v>#VALUE!</v>
      </c>
      <c r="G252" s="117" t="e">
        <f>F252-D252</f>
        <v>#VALUE!</v>
      </c>
      <c r="H252" s="117" t="e">
        <f>F252-E252</f>
        <v>#VALUE!</v>
      </c>
      <c r="I252" s="45"/>
      <c r="J252" s="127"/>
      <c r="O252" s="134">
        <v>29745.38</v>
      </c>
      <c r="P252" s="129" t="e">
        <f>F252-O252</f>
        <v>#VALUE!</v>
      </c>
      <c r="Q252" s="130" t="e">
        <f>P252/O252</f>
        <v>#VALUE!</v>
      </c>
    </row>
    <row r="253" spans="1:17" x14ac:dyDescent="0.3">
      <c r="C253" s="121" t="s">
        <v>2169</v>
      </c>
      <c r="D253" s="122">
        <f>SUM(D252)</f>
        <v>11025</v>
      </c>
      <c r="E253" s="122">
        <f>SUM(E252)</f>
        <v>0</v>
      </c>
      <c r="F253" s="122" t="e">
        <f>SUM(F252)</f>
        <v>#VALUE!</v>
      </c>
      <c r="G253" s="122" t="e">
        <f>SUM(G252)</f>
        <v>#VALUE!</v>
      </c>
      <c r="H253" s="122" t="e">
        <f>SUM(H252)</f>
        <v>#VALUE!</v>
      </c>
      <c r="I253" s="123"/>
      <c r="J253" s="127"/>
      <c r="O253" s="131">
        <v>29745.38</v>
      </c>
      <c r="P253" s="129" t="e">
        <f>F253-O253</f>
        <v>#VALUE!</v>
      </c>
      <c r="Q253" s="130" t="e">
        <f>P253/O253</f>
        <v>#VALUE!</v>
      </c>
    </row>
    <row r="254" spans="1:17" x14ac:dyDescent="0.3">
      <c r="D254" s="117"/>
      <c r="E254" s="117"/>
      <c r="F254" s="117"/>
      <c r="G254" s="117"/>
      <c r="H254" s="117"/>
      <c r="I254" s="45"/>
      <c r="J254" s="127"/>
      <c r="O254" s="128"/>
      <c r="P254" s="119"/>
      <c r="Q254" s="119"/>
    </row>
    <row r="255" spans="1:17" x14ac:dyDescent="0.3">
      <c r="A255" s="121" t="s">
        <v>92</v>
      </c>
      <c r="B255" t="s">
        <v>782</v>
      </c>
      <c r="C255" t="s">
        <v>784</v>
      </c>
      <c r="D255" s="117">
        <v>22556</v>
      </c>
      <c r="E255" s="117">
        <v>38200</v>
      </c>
      <c r="F255" s="117" t="e">
        <v>#VALUE!</v>
      </c>
      <c r="G255" s="117" t="e">
        <f>F255-D255</f>
        <v>#VALUE!</v>
      </c>
      <c r="H255" s="117" t="e">
        <f>F255-E255</f>
        <v>#VALUE!</v>
      </c>
      <c r="I255" s="45"/>
      <c r="J255" s="127"/>
      <c r="O255" s="128">
        <v>24525.15</v>
      </c>
      <c r="P255" s="129" t="e">
        <f>F255-O255</f>
        <v>#VALUE!</v>
      </c>
      <c r="Q255" s="130" t="e">
        <f>P255/O255</f>
        <v>#VALUE!</v>
      </c>
    </row>
    <row r="256" spans="1:17" x14ac:dyDescent="0.3">
      <c r="A256" s="121" t="s">
        <v>92</v>
      </c>
      <c r="B256" t="s">
        <v>782</v>
      </c>
      <c r="C256" t="s">
        <v>783</v>
      </c>
      <c r="D256" s="117">
        <v>60342</v>
      </c>
      <c r="E256" s="117">
        <v>83740</v>
      </c>
      <c r="F256" s="117" t="e">
        <v>#VALUE!</v>
      </c>
      <c r="G256" s="117" t="e">
        <f>F256-D256</f>
        <v>#VALUE!</v>
      </c>
      <c r="H256" s="117" t="e">
        <f>F256-E256</f>
        <v>#VALUE!</v>
      </c>
      <c r="I256" s="45"/>
      <c r="J256" s="127"/>
      <c r="O256" s="128">
        <v>60938.87</v>
      </c>
      <c r="P256" s="129" t="e">
        <f>F256-O256</f>
        <v>#VALUE!</v>
      </c>
      <c r="Q256" s="130" t="e">
        <f>P256/O256</f>
        <v>#VALUE!</v>
      </c>
    </row>
    <row r="257" spans="1:17" x14ac:dyDescent="0.3">
      <c r="A257" s="121"/>
      <c r="C257" s="121" t="s">
        <v>2170</v>
      </c>
      <c r="D257" s="122">
        <f>SUM(D255:D256)</f>
        <v>82898</v>
      </c>
      <c r="E257" s="122">
        <f>SUM(E255:E256)</f>
        <v>121940</v>
      </c>
      <c r="F257" s="122" t="e">
        <f>SUM(F255:F256)</f>
        <v>#VALUE!</v>
      </c>
      <c r="G257" s="122" t="e">
        <f>SUM(G255:G256)</f>
        <v>#VALUE!</v>
      </c>
      <c r="H257" s="122" t="e">
        <f>SUM(H255:H256)</f>
        <v>#VALUE!</v>
      </c>
      <c r="I257" s="123"/>
      <c r="O257" s="131">
        <v>85464.02</v>
      </c>
      <c r="P257" s="129" t="e">
        <f>F257-O257</f>
        <v>#VALUE!</v>
      </c>
      <c r="Q257" s="130" t="e">
        <f>P257/O257</f>
        <v>#VALUE!</v>
      </c>
    </row>
    <row r="258" spans="1:17" x14ac:dyDescent="0.3">
      <c r="D258" s="117"/>
      <c r="E258" s="117"/>
      <c r="F258" s="117"/>
      <c r="G258" s="117"/>
      <c r="H258" s="117"/>
      <c r="I258" s="45"/>
      <c r="J258" s="127"/>
      <c r="O258" s="128"/>
      <c r="P258" s="119"/>
      <c r="Q258" s="119"/>
    </row>
    <row r="259" spans="1:17" x14ac:dyDescent="0.3">
      <c r="A259" s="121" t="s">
        <v>92</v>
      </c>
      <c r="B259" s="120" t="s">
        <v>56</v>
      </c>
      <c r="C259" s="120" t="s">
        <v>1741</v>
      </c>
      <c r="D259" s="117">
        <v>37758</v>
      </c>
      <c r="E259" s="117">
        <v>43712</v>
      </c>
      <c r="F259" s="117" t="e">
        <v>#VALUE!</v>
      </c>
      <c r="G259" s="122" t="e">
        <f>F259-D259</f>
        <v>#VALUE!</v>
      </c>
      <c r="H259" s="122" t="e">
        <f>F259-E259</f>
        <v>#VALUE!</v>
      </c>
      <c r="I259" s="123"/>
      <c r="J259" s="127"/>
      <c r="O259" s="131"/>
      <c r="P259" s="129"/>
      <c r="Q259" s="130"/>
    </row>
    <row r="260" spans="1:17" x14ac:dyDescent="0.3">
      <c r="A260" s="121" t="s">
        <v>92</v>
      </c>
      <c r="B260" s="120" t="s">
        <v>56</v>
      </c>
      <c r="C260" t="s">
        <v>2210</v>
      </c>
      <c r="D260" s="117">
        <v>30800</v>
      </c>
      <c r="E260" s="117">
        <v>34000</v>
      </c>
      <c r="F260" s="117" t="e">
        <v>#VALUE!</v>
      </c>
      <c r="G260" s="117" t="e">
        <f>F260-D260</f>
        <v>#VALUE!</v>
      </c>
      <c r="H260" s="117" t="e">
        <f>F260-E260</f>
        <v>#VALUE!</v>
      </c>
      <c r="I260" s="45"/>
      <c r="J260" s="127"/>
      <c r="O260" s="128">
        <v>0</v>
      </c>
      <c r="P260" s="129" t="e">
        <f>F260-O260</f>
        <v>#VALUE!</v>
      </c>
      <c r="Q260" s="130" t="e">
        <f>P260/O260</f>
        <v>#VALUE!</v>
      </c>
    </row>
    <row r="261" spans="1:17" x14ac:dyDescent="0.3">
      <c r="C261" s="121" t="s">
        <v>56</v>
      </c>
      <c r="D261" s="122">
        <f>SUM(D259:D260)</f>
        <v>68558</v>
      </c>
      <c r="E261" s="122">
        <f>SUM(E259:E260)</f>
        <v>77712</v>
      </c>
      <c r="F261" s="122" t="e">
        <f>SUM(F259:F260)</f>
        <v>#VALUE!</v>
      </c>
      <c r="G261" s="122" t="e">
        <f>SUM(G259:G260)</f>
        <v>#VALUE!</v>
      </c>
      <c r="H261" s="122" t="e">
        <f>SUM(H259:H260)</f>
        <v>#VALUE!</v>
      </c>
      <c r="I261" s="123"/>
      <c r="J261" s="127"/>
      <c r="O261" s="131">
        <v>0</v>
      </c>
      <c r="P261" s="129" t="e">
        <f>F261-O261</f>
        <v>#VALUE!</v>
      </c>
      <c r="Q261" s="130" t="e">
        <f>P261/O261</f>
        <v>#VALUE!</v>
      </c>
    </row>
    <row r="262" spans="1:17" x14ac:dyDescent="0.3">
      <c r="D262" s="117"/>
      <c r="E262" s="117"/>
      <c r="F262" s="117"/>
      <c r="G262" s="117"/>
      <c r="H262" s="117"/>
      <c r="I262" s="45"/>
      <c r="J262" s="127"/>
      <c r="O262" s="128"/>
      <c r="P262" s="119"/>
      <c r="Q262" s="119"/>
    </row>
    <row r="263" spans="1:17" x14ac:dyDescent="0.3">
      <c r="D263" s="117"/>
      <c r="E263" s="117"/>
      <c r="F263" s="117"/>
      <c r="G263" s="117"/>
      <c r="H263" s="117"/>
      <c r="I263" s="45"/>
      <c r="J263" s="127"/>
      <c r="O263" s="128"/>
      <c r="P263" s="119"/>
      <c r="Q263" s="119"/>
    </row>
    <row r="264" spans="1:17" x14ac:dyDescent="0.3">
      <c r="A264" s="121" t="s">
        <v>92</v>
      </c>
      <c r="B264" t="s">
        <v>788</v>
      </c>
      <c r="C264" t="s">
        <v>1606</v>
      </c>
      <c r="D264" s="117">
        <v>-8077</v>
      </c>
      <c r="E264" s="117">
        <v>-8077</v>
      </c>
      <c r="F264" s="117" t="e">
        <v>#VALUE!</v>
      </c>
      <c r="G264" s="117" t="e">
        <f>F264-D264</f>
        <v>#VALUE!</v>
      </c>
      <c r="H264" s="117" t="e">
        <f>F264-E264</f>
        <v>#VALUE!</v>
      </c>
      <c r="I264" s="45"/>
      <c r="J264" s="127"/>
      <c r="O264" s="128">
        <v>0</v>
      </c>
      <c r="P264" s="129" t="e">
        <f>F264-O264</f>
        <v>#VALUE!</v>
      </c>
      <c r="Q264" s="130" t="e">
        <f>P264/O264</f>
        <v>#VALUE!</v>
      </c>
    </row>
    <row r="265" spans="1:17" x14ac:dyDescent="0.3">
      <c r="A265" s="121" t="s">
        <v>92</v>
      </c>
      <c r="B265" t="s">
        <v>788</v>
      </c>
      <c r="C265" t="s">
        <v>1608</v>
      </c>
      <c r="D265" s="117">
        <v>-1025</v>
      </c>
      <c r="E265" s="117">
        <v>-1000</v>
      </c>
      <c r="F265" s="117" t="e">
        <v>#VALUE!</v>
      </c>
      <c r="G265" s="117" t="e">
        <f>F265-D265</f>
        <v>#VALUE!</v>
      </c>
      <c r="H265" s="117" t="e">
        <f>F265-E265</f>
        <v>#VALUE!</v>
      </c>
      <c r="I265" s="45"/>
      <c r="J265" s="127"/>
      <c r="O265" s="128">
        <v>-2000</v>
      </c>
      <c r="P265" s="129" t="e">
        <f>F265-O265</f>
        <v>#VALUE!</v>
      </c>
      <c r="Q265" s="130" t="e">
        <f>P265/O265</f>
        <v>#VALUE!</v>
      </c>
    </row>
    <row r="266" spans="1:17" x14ac:dyDescent="0.3">
      <c r="A266" s="121" t="s">
        <v>92</v>
      </c>
      <c r="B266" t="s">
        <v>788</v>
      </c>
      <c r="C266" t="s">
        <v>1603</v>
      </c>
      <c r="D266" s="117"/>
      <c r="E266" s="117"/>
      <c r="F266" s="117" t="e">
        <v>#VALUE!</v>
      </c>
      <c r="G266" s="117"/>
      <c r="H266" s="117"/>
      <c r="I266" s="45"/>
      <c r="J266" s="127"/>
      <c r="O266" s="128"/>
      <c r="P266" s="129"/>
      <c r="Q266" s="130"/>
    </row>
    <row r="267" spans="1:17" x14ac:dyDescent="0.3">
      <c r="A267" s="121" t="s">
        <v>92</v>
      </c>
      <c r="B267" t="s">
        <v>788</v>
      </c>
      <c r="C267" t="s">
        <v>1612</v>
      </c>
      <c r="D267" s="117">
        <v>-12300</v>
      </c>
      <c r="E267" s="117">
        <v>-16673</v>
      </c>
      <c r="F267" s="117" t="e">
        <v>#VALUE!</v>
      </c>
      <c r="G267" s="117" t="e">
        <f>F267-D267</f>
        <v>#VALUE!</v>
      </c>
      <c r="H267" s="117" t="e">
        <f>F267-E267</f>
        <v>#VALUE!</v>
      </c>
      <c r="I267" s="45"/>
      <c r="J267" s="127"/>
      <c r="O267" s="128">
        <v>0</v>
      </c>
      <c r="P267" s="129" t="e">
        <f>F267-O267</f>
        <v>#VALUE!</v>
      </c>
      <c r="Q267" s="130" t="e">
        <f>P267/O267</f>
        <v>#VALUE!</v>
      </c>
    </row>
    <row r="268" spans="1:17" x14ac:dyDescent="0.3">
      <c r="C268" s="121" t="s">
        <v>2187</v>
      </c>
      <c r="D268" s="122">
        <f>SUM(D264:D267)</f>
        <v>-21402</v>
      </c>
      <c r="E268" s="122">
        <f>SUM(E264:E267)</f>
        <v>-25750</v>
      </c>
      <c r="F268" s="122" t="e">
        <f>SUM(F264:F267)</f>
        <v>#VALUE!</v>
      </c>
      <c r="G268" s="122" t="e">
        <f>SUM(G264:G267)</f>
        <v>#VALUE!</v>
      </c>
      <c r="H268" s="122" t="e">
        <f>SUM(H264:H267)</f>
        <v>#VALUE!</v>
      </c>
      <c r="I268" s="123"/>
      <c r="J268" s="127"/>
      <c r="O268" s="131">
        <v>-2000</v>
      </c>
      <c r="P268" s="129" t="e">
        <f>F268-O268</f>
        <v>#VALUE!</v>
      </c>
      <c r="Q268" s="130" t="e">
        <f>P268/O268</f>
        <v>#VALUE!</v>
      </c>
    </row>
    <row r="269" spans="1:17" x14ac:dyDescent="0.3">
      <c r="D269" s="117"/>
      <c r="E269" s="117"/>
      <c r="F269" s="117"/>
      <c r="G269" s="117"/>
      <c r="H269" s="117"/>
      <c r="I269" s="45"/>
      <c r="J269" s="127"/>
      <c r="O269" s="128"/>
      <c r="P269" s="119"/>
      <c r="Q269" s="119"/>
    </row>
    <row r="270" spans="1:17" x14ac:dyDescent="0.3">
      <c r="A270" s="121" t="s">
        <v>92</v>
      </c>
      <c r="B270" t="s">
        <v>2171</v>
      </c>
      <c r="C270" t="s">
        <v>1610</v>
      </c>
      <c r="D270" s="117">
        <v>-83390</v>
      </c>
      <c r="E270" s="117">
        <v>-70000</v>
      </c>
      <c r="F270" s="117" t="e">
        <v>#VALUE!</v>
      </c>
      <c r="G270" s="117" t="e">
        <f>F270-D270</f>
        <v>#VALUE!</v>
      </c>
      <c r="H270" s="117" t="e">
        <f>F270-E270</f>
        <v>#VALUE!</v>
      </c>
      <c r="I270" s="45"/>
      <c r="J270" s="127"/>
      <c r="O270" s="128">
        <v>-117599.35</v>
      </c>
      <c r="P270" s="129" t="e">
        <f>F270-O270</f>
        <v>#VALUE!</v>
      </c>
      <c r="Q270" s="130" t="e">
        <f>P270/O270</f>
        <v>#VALUE!</v>
      </c>
    </row>
    <row r="271" spans="1:17" x14ac:dyDescent="0.3">
      <c r="A271" s="121" t="s">
        <v>92</v>
      </c>
      <c r="B271" t="s">
        <v>2171</v>
      </c>
      <c r="C271" t="s">
        <v>1610</v>
      </c>
      <c r="D271" s="117">
        <v>-10500</v>
      </c>
      <c r="E271" s="117">
        <f>D271</f>
        <v>-10500</v>
      </c>
      <c r="F271" s="117"/>
      <c r="G271" s="117">
        <f>F271-D271</f>
        <v>10500</v>
      </c>
      <c r="H271" s="117">
        <f>F271-E271</f>
        <v>10500</v>
      </c>
      <c r="I271" s="45"/>
      <c r="J271" s="127"/>
      <c r="O271" s="128"/>
      <c r="P271" s="129"/>
      <c r="Q271" s="130"/>
    </row>
    <row r="272" spans="1:17" x14ac:dyDescent="0.3">
      <c r="A272" s="121" t="s">
        <v>92</v>
      </c>
      <c r="B272" t="s">
        <v>2171</v>
      </c>
      <c r="C272" t="s">
        <v>983</v>
      </c>
      <c r="D272" s="117"/>
      <c r="E272" s="117"/>
      <c r="F272" s="117" t="e">
        <v>#VALUE!</v>
      </c>
      <c r="G272" s="117" t="e">
        <f>F272-D272</f>
        <v>#VALUE!</v>
      </c>
      <c r="H272" s="117" t="e">
        <f>F272-E272</f>
        <v>#VALUE!</v>
      </c>
      <c r="I272" s="45"/>
      <c r="J272" s="127"/>
      <c r="O272" s="128">
        <v>-39.24</v>
      </c>
      <c r="P272" s="129" t="e">
        <f>F272-O272</f>
        <v>#VALUE!</v>
      </c>
      <c r="Q272" s="130" t="e">
        <f>P272/O272</f>
        <v>#VALUE!</v>
      </c>
    </row>
    <row r="273" spans="1:17" x14ac:dyDescent="0.3">
      <c r="A273" s="121" t="s">
        <v>92</v>
      </c>
      <c r="B273" t="s">
        <v>2171</v>
      </c>
      <c r="C273" t="s">
        <v>1828</v>
      </c>
      <c r="D273" s="117">
        <v>513</v>
      </c>
      <c r="E273" s="117">
        <f>D273</f>
        <v>513</v>
      </c>
      <c r="F273" s="117" t="e">
        <v>#VALUE!</v>
      </c>
      <c r="G273" s="117" t="e">
        <f>F273-D273</f>
        <v>#VALUE!</v>
      </c>
      <c r="H273" s="117" t="e">
        <f>F273-E273</f>
        <v>#VALUE!</v>
      </c>
      <c r="I273" s="45"/>
      <c r="J273" s="127"/>
      <c r="O273" s="128">
        <v>0</v>
      </c>
      <c r="P273" s="129" t="e">
        <f>F273-O273</f>
        <v>#VALUE!</v>
      </c>
      <c r="Q273" s="130" t="e">
        <f>P273/O273</f>
        <v>#VALUE!</v>
      </c>
    </row>
    <row r="274" spans="1:17" x14ac:dyDescent="0.3">
      <c r="C274" s="121" t="s">
        <v>2172</v>
      </c>
      <c r="D274" s="122">
        <f>SUM(D270:D273)</f>
        <v>-93377</v>
      </c>
      <c r="E274" s="122">
        <f>SUM(E270:E273)</f>
        <v>-79987</v>
      </c>
      <c r="F274" s="122" t="e">
        <f>SUM(F270:F273)</f>
        <v>#VALUE!</v>
      </c>
      <c r="G274" s="122" t="e">
        <f>SUM(G270:G273)</f>
        <v>#VALUE!</v>
      </c>
      <c r="H274" s="122" t="e">
        <f>SUM(H270:H273)</f>
        <v>#VALUE!</v>
      </c>
      <c r="I274" s="123"/>
      <c r="J274" s="127"/>
      <c r="O274" s="131">
        <v>-117638.59</v>
      </c>
      <c r="P274" s="129" t="e">
        <f>F274-O274</f>
        <v>#VALUE!</v>
      </c>
      <c r="Q274" s="130" t="e">
        <f>P274/O274</f>
        <v>#VALUE!</v>
      </c>
    </row>
    <row r="275" spans="1:17" x14ac:dyDescent="0.3">
      <c r="D275" s="117"/>
      <c r="E275" s="117"/>
      <c r="F275" s="117"/>
      <c r="G275" s="117"/>
      <c r="H275" s="117"/>
      <c r="I275" s="45"/>
      <c r="J275" s="127"/>
      <c r="O275" s="128"/>
      <c r="P275" s="119"/>
      <c r="Q275" s="119"/>
    </row>
    <row r="276" spans="1:17" x14ac:dyDescent="0.3">
      <c r="C276" s="121"/>
      <c r="D276" s="122"/>
      <c r="E276" s="122"/>
      <c r="F276" s="122"/>
      <c r="G276" s="122"/>
      <c r="H276" s="122"/>
      <c r="I276" s="123"/>
      <c r="O276" s="131"/>
      <c r="P276" s="119"/>
      <c r="Q276" s="119"/>
    </row>
    <row r="277" spans="1:17" x14ac:dyDescent="0.3">
      <c r="A277" s="121" t="s">
        <v>92</v>
      </c>
      <c r="B277" t="s">
        <v>355</v>
      </c>
      <c r="C277" t="s">
        <v>1597</v>
      </c>
      <c r="D277" s="117"/>
      <c r="E277" s="117">
        <f>D277</f>
        <v>0</v>
      </c>
      <c r="F277" s="117" t="e">
        <v>#VALUE!</v>
      </c>
      <c r="G277" s="117" t="e">
        <f>F277-D277</f>
        <v>#VALUE!</v>
      </c>
      <c r="H277" s="117" t="e">
        <f>F277-E277</f>
        <v>#VALUE!</v>
      </c>
      <c r="I277" s="45"/>
      <c r="J277" s="127"/>
      <c r="O277" s="128">
        <v>-30000</v>
      </c>
      <c r="P277" s="129" t="e">
        <f>F277-O277</f>
        <v>#VALUE!</v>
      </c>
      <c r="Q277" s="130" t="e">
        <f>P277/O277</f>
        <v>#VALUE!</v>
      </c>
    </row>
    <row r="278" spans="1:17" x14ac:dyDescent="0.3">
      <c r="C278" s="121" t="s">
        <v>2192</v>
      </c>
      <c r="D278" s="122">
        <f>SUM(D277:D277)</f>
        <v>0</v>
      </c>
      <c r="E278" s="122">
        <f>SUM(E277:E277)</f>
        <v>0</v>
      </c>
      <c r="F278" s="122" t="e">
        <f>SUM(F277:F277)</f>
        <v>#VALUE!</v>
      </c>
      <c r="G278" s="122" t="e">
        <f>SUM(G277:G277)</f>
        <v>#VALUE!</v>
      </c>
      <c r="H278" s="122" t="e">
        <f>SUM(H277:H277)</f>
        <v>#VALUE!</v>
      </c>
      <c r="I278" s="123"/>
      <c r="J278" s="127"/>
      <c r="O278" s="131">
        <v>-30000</v>
      </c>
      <c r="P278" s="129" t="e">
        <f>F278-O278</f>
        <v>#VALUE!</v>
      </c>
      <c r="Q278" s="130" t="e">
        <f>P278/O278</f>
        <v>#VALUE!</v>
      </c>
    </row>
    <row r="279" spans="1:17" x14ac:dyDescent="0.3">
      <c r="D279" s="117"/>
      <c r="E279" s="117"/>
      <c r="F279" s="117"/>
      <c r="G279" s="117"/>
      <c r="H279" s="117"/>
      <c r="I279" s="45"/>
      <c r="J279" s="127"/>
      <c r="O279" s="128"/>
      <c r="P279" s="119"/>
      <c r="Q279" s="119"/>
    </row>
    <row r="280" spans="1:17" x14ac:dyDescent="0.3">
      <c r="A280" s="121" t="s">
        <v>92</v>
      </c>
      <c r="B280" s="120" t="s">
        <v>2211</v>
      </c>
      <c r="C280" s="120" t="s">
        <v>2212</v>
      </c>
      <c r="D280" s="117"/>
      <c r="E280" s="117"/>
      <c r="F280" s="117">
        <v>-101947.65000000001</v>
      </c>
      <c r="G280" s="117">
        <f>F280-D280</f>
        <v>-101947.65000000001</v>
      </c>
      <c r="H280" s="117">
        <f>F280-E280</f>
        <v>-101947.65000000001</v>
      </c>
      <c r="I280" s="45"/>
      <c r="J280" s="127"/>
      <c r="O280" s="128">
        <v>0</v>
      </c>
      <c r="P280" s="129">
        <f>F280-O280</f>
        <v>-101947.65000000001</v>
      </c>
      <c r="Q280" s="130" t="e">
        <f>P280/O280</f>
        <v>#DIV/0!</v>
      </c>
    </row>
    <row r="281" spans="1:17" x14ac:dyDescent="0.3">
      <c r="A281" s="121" t="s">
        <v>92</v>
      </c>
      <c r="B281" s="120" t="s">
        <v>2211</v>
      </c>
      <c r="C281" t="s">
        <v>1616</v>
      </c>
      <c r="D281" s="117">
        <v>-108162</v>
      </c>
      <c r="E281" s="117">
        <v>-136605</v>
      </c>
      <c r="F281" s="117" t="e">
        <v>#VALUE!</v>
      </c>
      <c r="G281" s="117" t="e">
        <f>F281-D281</f>
        <v>#VALUE!</v>
      </c>
      <c r="H281" s="117" t="e">
        <f>F281-E281</f>
        <v>#VALUE!</v>
      </c>
      <c r="I281" s="45"/>
      <c r="J281" s="127"/>
      <c r="O281" s="128">
        <v>0</v>
      </c>
      <c r="P281" s="129" t="e">
        <f>F281-O281</f>
        <v>#VALUE!</v>
      </c>
      <c r="Q281" s="130" t="e">
        <f>P281/O281</f>
        <v>#VALUE!</v>
      </c>
    </row>
    <row r="282" spans="1:17" x14ac:dyDescent="0.3">
      <c r="C282" s="121" t="s">
        <v>2213</v>
      </c>
      <c r="D282" s="122">
        <f>SUM(D280:D281)</f>
        <v>-108162</v>
      </c>
      <c r="E282" s="122">
        <f>SUM(E280:E281)</f>
        <v>-136605</v>
      </c>
      <c r="F282" s="122" t="e">
        <f>SUM(F280:F281)</f>
        <v>#VALUE!</v>
      </c>
      <c r="G282" s="122" t="e">
        <f>SUM(G280:G281)</f>
        <v>#VALUE!</v>
      </c>
      <c r="H282" s="122" t="e">
        <f>SUM(H280:H281)</f>
        <v>#VALUE!</v>
      </c>
      <c r="I282" s="123"/>
      <c r="J282" s="127"/>
      <c r="O282" s="131">
        <v>0</v>
      </c>
      <c r="P282" s="129" t="e">
        <f>F282-O282</f>
        <v>#VALUE!</v>
      </c>
      <c r="Q282" s="130" t="e">
        <f>P282/O282</f>
        <v>#VALUE!</v>
      </c>
    </row>
    <row r="283" spans="1:17" x14ac:dyDescent="0.3">
      <c r="D283" s="117"/>
      <c r="E283" s="117"/>
      <c r="F283" s="117"/>
      <c r="G283" s="117"/>
      <c r="H283" s="117"/>
      <c r="I283" s="45"/>
      <c r="J283" s="127"/>
      <c r="O283" s="128"/>
      <c r="P283" s="119"/>
      <c r="Q283" s="119"/>
    </row>
    <row r="284" spans="1:17" x14ac:dyDescent="0.3">
      <c r="D284" s="117"/>
      <c r="E284" s="117"/>
      <c r="F284" s="117"/>
      <c r="G284" s="117"/>
      <c r="H284" s="117"/>
      <c r="I284" s="45"/>
      <c r="J284" s="127"/>
      <c r="O284" s="128"/>
      <c r="P284" s="119"/>
      <c r="Q284" s="119"/>
    </row>
    <row r="285" spans="1:17" x14ac:dyDescent="0.3">
      <c r="C285" s="121" t="s">
        <v>2156</v>
      </c>
      <c r="D285" s="122">
        <f>D241+D247+D250+D253+D257+D261+D268+D274+D282+D278</f>
        <v>104138</v>
      </c>
      <c r="E285" s="122">
        <f>E241+E247+E250+E253+E257+E261+E268+E274+E282+E278</f>
        <v>138525</v>
      </c>
      <c r="F285" s="122" t="e">
        <f>F241+F247+F250+F253+F257+F261+F268+F274+F282+F278</f>
        <v>#VALUE!</v>
      </c>
      <c r="G285" s="122" t="e">
        <f>G241+G247+G250+G253+G257+G261+G268+G274+G282+G278</f>
        <v>#VALUE!</v>
      </c>
      <c r="H285" s="122" t="e">
        <f>H241+H247+H250+H253+H257+H261+H268+H274+H282+H278</f>
        <v>#VALUE!</v>
      </c>
      <c r="I285" s="123"/>
      <c r="J285" s="127" t="e">
        <v>#VALUE!</v>
      </c>
      <c r="O285" s="131">
        <v>29745.38</v>
      </c>
      <c r="P285" s="129" t="e">
        <f>F285-O285</f>
        <v>#VALUE!</v>
      </c>
      <c r="Q285" s="130" t="e">
        <f>P285/O285</f>
        <v>#VALUE!</v>
      </c>
    </row>
    <row r="286" spans="1:17" ht="30" x14ac:dyDescent="0.6">
      <c r="D286" s="117"/>
      <c r="E286" s="132" t="e">
        <f>IF(F286="","","CHECK")</f>
        <v>#VALUE!</v>
      </c>
      <c r="F286" s="132" t="e">
        <v>#VALUE!</v>
      </c>
      <c r="G286" s="117"/>
      <c r="H286" s="117"/>
      <c r="I286" s="45"/>
      <c r="J286" s="127"/>
      <c r="O286" s="128"/>
      <c r="P286" s="119"/>
      <c r="Q286" s="119"/>
    </row>
    <row r="287" spans="1:17" x14ac:dyDescent="0.3">
      <c r="A287" s="121" t="s">
        <v>90</v>
      </c>
      <c r="B287" t="s">
        <v>53</v>
      </c>
      <c r="C287" s="120" t="s">
        <v>1621</v>
      </c>
      <c r="D287" s="117">
        <v>739</v>
      </c>
      <c r="E287" s="117">
        <f>D287</f>
        <v>739</v>
      </c>
      <c r="F287" s="117" t="e">
        <v>#VALUE!</v>
      </c>
      <c r="G287" s="117" t="e">
        <f>F287-D287</f>
        <v>#VALUE!</v>
      </c>
      <c r="H287" s="117" t="e">
        <f>F287-E287</f>
        <v>#VALUE!</v>
      </c>
      <c r="I287" s="45"/>
      <c r="J287" s="127"/>
      <c r="O287" s="128">
        <v>533.54</v>
      </c>
      <c r="P287" s="129" t="e">
        <f>F287-O287</f>
        <v>#VALUE!</v>
      </c>
      <c r="Q287" s="130" t="e">
        <f>P287/O287</f>
        <v>#VALUE!</v>
      </c>
    </row>
    <row r="288" spans="1:17" x14ac:dyDescent="0.3">
      <c r="C288" s="121" t="s">
        <v>2164</v>
      </c>
      <c r="D288" s="122">
        <f>SUM(D287)</f>
        <v>739</v>
      </c>
      <c r="E288" s="122">
        <f>SUM(E287)</f>
        <v>739</v>
      </c>
      <c r="F288" s="122" t="e">
        <f>SUM(F287)</f>
        <v>#VALUE!</v>
      </c>
      <c r="G288" s="122" t="e">
        <f>SUM(G287)</f>
        <v>#VALUE!</v>
      </c>
      <c r="H288" s="122" t="e">
        <f>SUM(H287)</f>
        <v>#VALUE!</v>
      </c>
      <c r="I288" s="123"/>
      <c r="J288" s="127"/>
      <c r="O288" s="131">
        <v>533.54</v>
      </c>
      <c r="P288" s="129" t="e">
        <f>F288-O288</f>
        <v>#VALUE!</v>
      </c>
      <c r="Q288" s="130" t="e">
        <f>P288/O288</f>
        <v>#VALUE!</v>
      </c>
    </row>
    <row r="289" spans="1:17" x14ac:dyDescent="0.3">
      <c r="C289" s="120"/>
      <c r="D289" s="117"/>
      <c r="E289" s="117"/>
      <c r="F289" s="117"/>
      <c r="G289" s="117"/>
      <c r="H289" s="117"/>
      <c r="I289" s="45"/>
      <c r="J289" s="127"/>
      <c r="O289" s="128"/>
      <c r="P289" s="119"/>
      <c r="Q289" s="119"/>
    </row>
    <row r="290" spans="1:17" x14ac:dyDescent="0.3">
      <c r="A290" s="121" t="s">
        <v>90</v>
      </c>
      <c r="B290" t="s">
        <v>757</v>
      </c>
      <c r="C290" s="120" t="s">
        <v>956</v>
      </c>
      <c r="D290" s="117">
        <v>887</v>
      </c>
      <c r="E290" s="117">
        <f t="shared" ref="E290:E296" si="38">D290</f>
        <v>887</v>
      </c>
      <c r="F290" s="117" t="e">
        <v>#VALUE!</v>
      </c>
      <c r="G290" s="117" t="e">
        <f t="shared" ref="G290:G303" si="39">F290-D290</f>
        <v>#VALUE!</v>
      </c>
      <c r="H290" s="117" t="e">
        <f>F290-E290</f>
        <v>#VALUE!</v>
      </c>
      <c r="I290" s="45"/>
      <c r="J290" s="127"/>
      <c r="O290" s="128">
        <v>0</v>
      </c>
      <c r="P290" s="129" t="e">
        <f>F290-O290</f>
        <v>#VALUE!</v>
      </c>
      <c r="Q290" s="130" t="e">
        <f>P290/O290</f>
        <v>#VALUE!</v>
      </c>
    </row>
    <row r="291" spans="1:17" x14ac:dyDescent="0.3">
      <c r="A291" s="121" t="s">
        <v>90</v>
      </c>
      <c r="B291" t="s">
        <v>757</v>
      </c>
      <c r="C291" s="120" t="s">
        <v>1669</v>
      </c>
      <c r="D291" s="117">
        <v>528</v>
      </c>
      <c r="E291" s="117">
        <f t="shared" si="38"/>
        <v>528</v>
      </c>
      <c r="F291" s="117" t="e">
        <v>#VALUE!</v>
      </c>
      <c r="G291" s="117" t="e">
        <f t="shared" si="39"/>
        <v>#VALUE!</v>
      </c>
      <c r="H291" s="117" t="e">
        <f>F291-E291</f>
        <v>#VALUE!</v>
      </c>
      <c r="I291" s="45"/>
      <c r="J291" s="127"/>
      <c r="O291" s="128">
        <v>16.5</v>
      </c>
      <c r="P291" s="129" t="e">
        <f>F291-O291</f>
        <v>#VALUE!</v>
      </c>
      <c r="Q291" s="130" t="e">
        <f>P291/O291</f>
        <v>#VALUE!</v>
      </c>
    </row>
    <row r="292" spans="1:17" x14ac:dyDescent="0.3">
      <c r="A292" s="121" t="s">
        <v>90</v>
      </c>
      <c r="B292" t="s">
        <v>757</v>
      </c>
      <c r="C292" s="120" t="s">
        <v>1671</v>
      </c>
      <c r="D292" s="117">
        <v>2000</v>
      </c>
      <c r="E292" s="117">
        <v>2000</v>
      </c>
      <c r="F292" s="117" t="e">
        <v>#VALUE!</v>
      </c>
      <c r="G292" s="117" t="e">
        <f t="shared" si="39"/>
        <v>#VALUE!</v>
      </c>
      <c r="H292" s="117" t="e">
        <f>F292-E292</f>
        <v>#VALUE!</v>
      </c>
      <c r="I292" s="45"/>
      <c r="J292" s="127"/>
      <c r="O292" s="128">
        <v>805.44</v>
      </c>
      <c r="P292" s="129" t="e">
        <f>F292-O292</f>
        <v>#VALUE!</v>
      </c>
      <c r="Q292" s="130" t="e">
        <f>P292/O292</f>
        <v>#VALUE!</v>
      </c>
    </row>
    <row r="293" spans="1:17" x14ac:dyDescent="0.3">
      <c r="A293" s="121" t="s">
        <v>90</v>
      </c>
      <c r="B293" t="s">
        <v>757</v>
      </c>
      <c r="C293" s="120" t="s">
        <v>1619</v>
      </c>
      <c r="D293" s="117">
        <v>17476</v>
      </c>
      <c r="E293" s="117">
        <f t="shared" si="38"/>
        <v>17476</v>
      </c>
      <c r="F293" s="117" t="e">
        <v>#VALUE!</v>
      </c>
      <c r="G293" s="117"/>
      <c r="H293" s="117"/>
      <c r="I293" s="45"/>
      <c r="J293" s="127"/>
      <c r="O293" s="128"/>
      <c r="P293" s="129"/>
      <c r="Q293" s="130"/>
    </row>
    <row r="294" spans="1:17" x14ac:dyDescent="0.3">
      <c r="A294" s="121" t="s">
        <v>90</v>
      </c>
      <c r="B294" t="s">
        <v>757</v>
      </c>
      <c r="C294" s="120" t="s">
        <v>2214</v>
      </c>
      <c r="D294" s="117">
        <v>1538</v>
      </c>
      <c r="E294" s="117">
        <f t="shared" si="38"/>
        <v>1538</v>
      </c>
      <c r="F294" s="117"/>
      <c r="G294" s="117">
        <f t="shared" si="39"/>
        <v>-1538</v>
      </c>
      <c r="H294" s="117">
        <f t="shared" ref="H294:H303" si="40">F294-E294</f>
        <v>-1538</v>
      </c>
      <c r="I294" s="45"/>
      <c r="J294" s="127"/>
      <c r="O294" s="128"/>
      <c r="P294" s="129"/>
      <c r="Q294" s="130"/>
    </row>
    <row r="295" spans="1:17" x14ac:dyDescent="0.3">
      <c r="A295" s="121" t="s">
        <v>90</v>
      </c>
      <c r="B295" t="s">
        <v>757</v>
      </c>
      <c r="C295" s="120" t="s">
        <v>1543</v>
      </c>
      <c r="D295" s="117">
        <v>195</v>
      </c>
      <c r="E295" s="117">
        <f t="shared" si="38"/>
        <v>195</v>
      </c>
      <c r="F295" s="117" t="e">
        <v>#VALUE!</v>
      </c>
      <c r="G295" s="117" t="e">
        <f t="shared" si="39"/>
        <v>#VALUE!</v>
      </c>
      <c r="H295" s="117" t="e">
        <f t="shared" si="40"/>
        <v>#VALUE!</v>
      </c>
      <c r="I295" s="45"/>
      <c r="J295" s="127"/>
      <c r="O295" s="128">
        <v>34.950000000000003</v>
      </c>
      <c r="P295" s="129" t="e">
        <f t="shared" ref="P295:P302" si="41">F295-O295</f>
        <v>#VALUE!</v>
      </c>
      <c r="Q295" s="130" t="e">
        <f t="shared" ref="Q295:Q302" si="42">P295/O295</f>
        <v>#VALUE!</v>
      </c>
    </row>
    <row r="296" spans="1:17" x14ac:dyDescent="0.3">
      <c r="A296" s="121" t="s">
        <v>90</v>
      </c>
      <c r="B296" t="s">
        <v>757</v>
      </c>
      <c r="C296" s="120" t="s">
        <v>1660</v>
      </c>
      <c r="D296" s="117">
        <v>9726</v>
      </c>
      <c r="E296" s="117">
        <f t="shared" si="38"/>
        <v>9726</v>
      </c>
      <c r="F296" s="117" t="e">
        <v>#VALUE!</v>
      </c>
      <c r="G296" s="117" t="e">
        <f t="shared" si="39"/>
        <v>#VALUE!</v>
      </c>
      <c r="H296" s="117" t="e">
        <f t="shared" si="40"/>
        <v>#VALUE!</v>
      </c>
      <c r="I296" s="45"/>
      <c r="J296" s="127"/>
      <c r="O296" s="128">
        <v>190.85</v>
      </c>
      <c r="P296" s="129" t="e">
        <f t="shared" si="41"/>
        <v>#VALUE!</v>
      </c>
      <c r="Q296" s="130" t="e">
        <f t="shared" si="42"/>
        <v>#VALUE!</v>
      </c>
    </row>
    <row r="297" spans="1:17" x14ac:dyDescent="0.3">
      <c r="A297" s="121" t="s">
        <v>90</v>
      </c>
      <c r="B297" t="s">
        <v>757</v>
      </c>
      <c r="C297" s="120" t="s">
        <v>1662</v>
      </c>
      <c r="D297" s="117"/>
      <c r="E297" s="117"/>
      <c r="F297" s="117" t="e">
        <v>#VALUE!</v>
      </c>
      <c r="G297" s="117" t="e">
        <f t="shared" si="39"/>
        <v>#VALUE!</v>
      </c>
      <c r="H297" s="117" t="e">
        <f t="shared" si="40"/>
        <v>#VALUE!</v>
      </c>
      <c r="I297" s="45"/>
      <c r="J297" s="127"/>
      <c r="O297" s="128">
        <v>525</v>
      </c>
      <c r="P297" s="129" t="e">
        <f t="shared" si="41"/>
        <v>#VALUE!</v>
      </c>
      <c r="Q297" s="130" t="e">
        <f t="shared" si="42"/>
        <v>#VALUE!</v>
      </c>
    </row>
    <row r="298" spans="1:17" x14ac:dyDescent="0.3">
      <c r="A298" s="121" t="s">
        <v>90</v>
      </c>
      <c r="B298" t="s">
        <v>757</v>
      </c>
      <c r="C298" s="120" t="s">
        <v>1664</v>
      </c>
      <c r="D298" s="117"/>
      <c r="E298" s="117"/>
      <c r="F298" s="117" t="e">
        <v>#VALUE!</v>
      </c>
      <c r="G298" s="117" t="e">
        <f t="shared" si="39"/>
        <v>#VALUE!</v>
      </c>
      <c r="H298" s="117" t="e">
        <f t="shared" si="40"/>
        <v>#VALUE!</v>
      </c>
      <c r="I298" s="45"/>
      <c r="J298" s="127"/>
      <c r="O298" s="128">
        <v>945.96</v>
      </c>
      <c r="P298" s="129" t="e">
        <f t="shared" si="41"/>
        <v>#VALUE!</v>
      </c>
      <c r="Q298" s="130" t="e">
        <f t="shared" si="42"/>
        <v>#VALUE!</v>
      </c>
    </row>
    <row r="299" spans="1:17" x14ac:dyDescent="0.3">
      <c r="A299" s="121" t="s">
        <v>90</v>
      </c>
      <c r="B299" t="s">
        <v>757</v>
      </c>
      <c r="C299" s="120" t="s">
        <v>1658</v>
      </c>
      <c r="D299" s="117"/>
      <c r="E299" s="117"/>
      <c r="F299" s="117" t="e">
        <v>#VALUE!</v>
      </c>
      <c r="G299" s="117" t="e">
        <f t="shared" si="39"/>
        <v>#VALUE!</v>
      </c>
      <c r="H299" s="117" t="e">
        <f t="shared" si="40"/>
        <v>#VALUE!</v>
      </c>
      <c r="I299" s="45"/>
      <c r="J299" s="127"/>
      <c r="O299" s="128">
        <v>0</v>
      </c>
      <c r="P299" s="129" t="e">
        <f t="shared" si="41"/>
        <v>#VALUE!</v>
      </c>
      <c r="Q299" s="130" t="e">
        <f t="shared" si="42"/>
        <v>#VALUE!</v>
      </c>
    </row>
    <row r="300" spans="1:17" x14ac:dyDescent="0.3">
      <c r="A300" s="121" t="s">
        <v>90</v>
      </c>
      <c r="B300" t="s">
        <v>757</v>
      </c>
      <c r="C300" s="120" t="s">
        <v>1656</v>
      </c>
      <c r="D300" s="117"/>
      <c r="E300" s="117"/>
      <c r="F300" s="117" t="e">
        <v>#VALUE!</v>
      </c>
      <c r="G300" s="117" t="e">
        <f t="shared" si="39"/>
        <v>#VALUE!</v>
      </c>
      <c r="H300" s="117" t="e">
        <f t="shared" si="40"/>
        <v>#VALUE!</v>
      </c>
      <c r="I300" s="45"/>
      <c r="J300" s="127"/>
      <c r="O300" s="128">
        <v>4456</v>
      </c>
      <c r="P300" s="129" t="e">
        <f t="shared" si="41"/>
        <v>#VALUE!</v>
      </c>
      <c r="Q300" s="130" t="e">
        <f t="shared" si="42"/>
        <v>#VALUE!</v>
      </c>
    </row>
    <row r="301" spans="1:17" x14ac:dyDescent="0.3">
      <c r="A301" s="121" t="s">
        <v>90</v>
      </c>
      <c r="B301" t="s">
        <v>757</v>
      </c>
      <c r="C301" s="120" t="s">
        <v>1654</v>
      </c>
      <c r="D301" s="117"/>
      <c r="E301" s="117"/>
      <c r="F301" s="117" t="e">
        <v>#VALUE!</v>
      </c>
      <c r="G301" s="117" t="e">
        <f t="shared" si="39"/>
        <v>#VALUE!</v>
      </c>
      <c r="H301" s="117" t="e">
        <f t="shared" si="40"/>
        <v>#VALUE!</v>
      </c>
      <c r="I301" s="45"/>
      <c r="J301" s="127"/>
      <c r="O301" s="128">
        <v>367.18</v>
      </c>
      <c r="P301" s="129" t="e">
        <f t="shared" si="41"/>
        <v>#VALUE!</v>
      </c>
      <c r="Q301" s="130" t="e">
        <f t="shared" si="42"/>
        <v>#VALUE!</v>
      </c>
    </row>
    <row r="302" spans="1:17" x14ac:dyDescent="0.3">
      <c r="A302" s="121" t="s">
        <v>90</v>
      </c>
      <c r="B302" t="s">
        <v>757</v>
      </c>
      <c r="C302" s="120" t="s">
        <v>1666</v>
      </c>
      <c r="D302" s="117"/>
      <c r="E302" s="117"/>
      <c r="F302" s="117" t="e">
        <v>#VALUE!</v>
      </c>
      <c r="G302" s="117" t="e">
        <f t="shared" si="39"/>
        <v>#VALUE!</v>
      </c>
      <c r="H302" s="117" t="e">
        <f t="shared" si="40"/>
        <v>#VALUE!</v>
      </c>
      <c r="I302" s="45"/>
      <c r="J302" s="127"/>
      <c r="O302" s="128">
        <v>0</v>
      </c>
      <c r="P302" s="129" t="e">
        <f t="shared" si="41"/>
        <v>#VALUE!</v>
      </c>
      <c r="Q302" s="130" t="e">
        <f t="shared" si="42"/>
        <v>#VALUE!</v>
      </c>
    </row>
    <row r="303" spans="1:17" x14ac:dyDescent="0.3">
      <c r="A303" s="121" t="s">
        <v>90</v>
      </c>
      <c r="B303" t="s">
        <v>757</v>
      </c>
      <c r="C303" s="120" t="s">
        <v>1155</v>
      </c>
      <c r="D303" s="117"/>
      <c r="E303" s="117"/>
      <c r="F303" s="117" t="e">
        <v>#VALUE!</v>
      </c>
      <c r="G303" s="117" t="e">
        <f t="shared" si="39"/>
        <v>#VALUE!</v>
      </c>
      <c r="H303" s="117" t="e">
        <f t="shared" si="40"/>
        <v>#VALUE!</v>
      </c>
      <c r="I303" s="45"/>
      <c r="J303" s="127"/>
      <c r="O303" s="128"/>
      <c r="P303" s="129"/>
      <c r="Q303" s="130"/>
    </row>
    <row r="304" spans="1:17" x14ac:dyDescent="0.3">
      <c r="A304" s="121" t="s">
        <v>90</v>
      </c>
      <c r="B304" t="s">
        <v>757</v>
      </c>
      <c r="C304" s="120" t="s">
        <v>141</v>
      </c>
      <c r="D304" s="117"/>
      <c r="E304" s="117"/>
      <c r="F304" s="117" t="e">
        <v>#VALUE!</v>
      </c>
      <c r="G304" s="117"/>
      <c r="H304" s="117"/>
      <c r="I304" s="45"/>
      <c r="J304" s="127"/>
      <c r="O304" s="128"/>
      <c r="P304" s="129"/>
      <c r="Q304" s="130"/>
    </row>
    <row r="305" spans="1:17" x14ac:dyDescent="0.3">
      <c r="A305" s="121" t="s">
        <v>90</v>
      </c>
      <c r="B305" t="s">
        <v>757</v>
      </c>
      <c r="C305" s="120" t="s">
        <v>1506</v>
      </c>
      <c r="D305" s="117"/>
      <c r="E305" s="117"/>
      <c r="F305" s="117" t="e">
        <v>#VALUE!</v>
      </c>
      <c r="G305" s="117" t="e">
        <f>F305-D305</f>
        <v>#VALUE!</v>
      </c>
      <c r="H305" s="117" t="e">
        <f t="shared" ref="H305:H311" si="43">F305-E305</f>
        <v>#VALUE!</v>
      </c>
      <c r="I305" s="45"/>
      <c r="J305" s="127"/>
      <c r="O305" s="128">
        <v>130.43</v>
      </c>
      <c r="P305" s="129" t="e">
        <f>F305-O305</f>
        <v>#VALUE!</v>
      </c>
      <c r="Q305" s="130" t="e">
        <f>P305/O305</f>
        <v>#VALUE!</v>
      </c>
    </row>
    <row r="306" spans="1:17" x14ac:dyDescent="0.3">
      <c r="A306" s="121" t="s">
        <v>90</v>
      </c>
      <c r="B306" t="s">
        <v>757</v>
      </c>
      <c r="C306" s="120" t="s">
        <v>1508</v>
      </c>
      <c r="D306" s="117">
        <v>467</v>
      </c>
      <c r="E306" s="117">
        <f>D306</f>
        <v>467</v>
      </c>
      <c r="F306" s="117" t="e">
        <v>#VALUE!</v>
      </c>
      <c r="G306" s="117" t="e">
        <f t="shared" ref="G306:G311" si="44">F306-D306</f>
        <v>#VALUE!</v>
      </c>
      <c r="H306" s="117" t="e">
        <f t="shared" si="43"/>
        <v>#VALUE!</v>
      </c>
      <c r="I306" s="45"/>
      <c r="J306" s="127"/>
      <c r="O306" s="128">
        <v>0</v>
      </c>
      <c r="P306" s="129" t="e">
        <f>F306-O306</f>
        <v>#VALUE!</v>
      </c>
      <c r="Q306" s="130" t="e">
        <f>P306/O306</f>
        <v>#VALUE!</v>
      </c>
    </row>
    <row r="307" spans="1:17" x14ac:dyDescent="0.3">
      <c r="A307" s="121" t="s">
        <v>90</v>
      </c>
      <c r="B307" t="s">
        <v>757</v>
      </c>
      <c r="C307" s="120" t="s">
        <v>1719</v>
      </c>
      <c r="D307" s="117">
        <v>277</v>
      </c>
      <c r="E307" s="117">
        <f>D307</f>
        <v>277</v>
      </c>
      <c r="F307" s="117" t="e">
        <v>#VALUE!</v>
      </c>
      <c r="G307" s="117" t="e">
        <f t="shared" si="44"/>
        <v>#VALUE!</v>
      </c>
      <c r="H307" s="117" t="e">
        <f t="shared" si="43"/>
        <v>#VALUE!</v>
      </c>
      <c r="I307" s="45"/>
      <c r="J307" s="127"/>
      <c r="O307" s="128">
        <v>314.94</v>
      </c>
      <c r="P307" s="129" t="e">
        <f>F307-O307</f>
        <v>#VALUE!</v>
      </c>
      <c r="Q307" s="130" t="e">
        <f>P307/O307</f>
        <v>#VALUE!</v>
      </c>
    </row>
    <row r="308" spans="1:17" x14ac:dyDescent="0.3">
      <c r="A308" s="121" t="s">
        <v>90</v>
      </c>
      <c r="B308" t="s">
        <v>757</v>
      </c>
      <c r="C308" s="120" t="s">
        <v>1721</v>
      </c>
      <c r="D308" s="117">
        <v>164</v>
      </c>
      <c r="E308" s="117">
        <f>D308</f>
        <v>164</v>
      </c>
      <c r="F308" s="117" t="e">
        <v>#VALUE!</v>
      </c>
      <c r="G308" s="117" t="e">
        <f t="shared" si="44"/>
        <v>#VALUE!</v>
      </c>
      <c r="H308" s="117" t="e">
        <f t="shared" si="43"/>
        <v>#VALUE!</v>
      </c>
      <c r="I308" s="45"/>
      <c r="J308" s="127"/>
      <c r="O308" s="128">
        <v>83.83</v>
      </c>
      <c r="P308" s="129" t="e">
        <f>F308-O308</f>
        <v>#VALUE!</v>
      </c>
      <c r="Q308" s="130" t="e">
        <f>P308/O308</f>
        <v>#VALUE!</v>
      </c>
    </row>
    <row r="309" spans="1:17" x14ac:dyDescent="0.3">
      <c r="A309" s="121" t="s">
        <v>90</v>
      </c>
      <c r="B309" t="s">
        <v>757</v>
      </c>
      <c r="C309" s="120" t="s">
        <v>2215</v>
      </c>
      <c r="D309" s="117">
        <v>154</v>
      </c>
      <c r="E309" s="117">
        <f>D309</f>
        <v>154</v>
      </c>
      <c r="F309" s="117"/>
      <c r="G309" s="117">
        <f t="shared" si="44"/>
        <v>-154</v>
      </c>
      <c r="H309" s="117">
        <f t="shared" si="43"/>
        <v>-154</v>
      </c>
      <c r="I309" s="45"/>
      <c r="J309" s="127"/>
      <c r="O309" s="128"/>
      <c r="P309" s="129"/>
      <c r="Q309" s="130"/>
    </row>
    <row r="310" spans="1:17" x14ac:dyDescent="0.3">
      <c r="A310" s="121" t="s">
        <v>90</v>
      </c>
      <c r="B310" t="s">
        <v>757</v>
      </c>
      <c r="C310" s="120" t="s">
        <v>2216</v>
      </c>
      <c r="D310" s="117">
        <v>2000</v>
      </c>
      <c r="E310" s="117"/>
      <c r="F310" s="117" t="e">
        <v>#VALUE!</v>
      </c>
      <c r="G310" s="117" t="e">
        <f>F310-D310</f>
        <v>#VALUE!</v>
      </c>
      <c r="H310" s="117" t="e">
        <f t="shared" si="43"/>
        <v>#VALUE!</v>
      </c>
      <c r="I310" s="45"/>
      <c r="J310" s="127"/>
      <c r="O310" s="128">
        <v>-2000</v>
      </c>
      <c r="P310" s="129" t="e">
        <f>F310-O310</f>
        <v>#VALUE!</v>
      </c>
      <c r="Q310" s="130" t="e">
        <f>P310/O310</f>
        <v>#VALUE!</v>
      </c>
    </row>
    <row r="311" spans="1:17" x14ac:dyDescent="0.3">
      <c r="A311" s="121" t="s">
        <v>90</v>
      </c>
      <c r="B311" t="s">
        <v>757</v>
      </c>
      <c r="C311" s="120" t="s">
        <v>2217</v>
      </c>
      <c r="D311" s="117"/>
      <c r="E311" s="117"/>
      <c r="F311" s="117" t="e">
        <v>#VALUE!</v>
      </c>
      <c r="G311" s="117" t="e">
        <f t="shared" si="44"/>
        <v>#VALUE!</v>
      </c>
      <c r="H311" s="117" t="e">
        <f t="shared" si="43"/>
        <v>#VALUE!</v>
      </c>
      <c r="I311" s="45"/>
      <c r="J311" s="127"/>
      <c r="O311" s="128">
        <v>0</v>
      </c>
      <c r="P311" s="129" t="e">
        <f>F311-O311</f>
        <v>#VALUE!</v>
      </c>
      <c r="Q311" s="130" t="e">
        <f>P311/O311</f>
        <v>#VALUE!</v>
      </c>
    </row>
    <row r="312" spans="1:17" x14ac:dyDescent="0.3">
      <c r="C312" s="121" t="s">
        <v>2168</v>
      </c>
      <c r="D312" s="122">
        <f>SUM(D290:D311)</f>
        <v>35412</v>
      </c>
      <c r="E312" s="122">
        <f>SUM(E290:E311)</f>
        <v>33412</v>
      </c>
      <c r="F312" s="122" t="e">
        <f>SUM(F290:F311)</f>
        <v>#VALUE!</v>
      </c>
      <c r="G312" s="122" t="e">
        <f>SUM(G290:G311)</f>
        <v>#VALUE!</v>
      </c>
      <c r="H312" s="122" t="e">
        <f>SUM(H290:H311)</f>
        <v>#VALUE!</v>
      </c>
      <c r="I312" s="123"/>
      <c r="J312" s="127"/>
      <c r="O312" s="131">
        <v>7871.08</v>
      </c>
      <c r="P312" s="129" t="e">
        <f>F312-O312</f>
        <v>#VALUE!</v>
      </c>
      <c r="Q312" s="130" t="e">
        <f>P312/O312</f>
        <v>#VALUE!</v>
      </c>
    </row>
    <row r="313" spans="1:17" x14ac:dyDescent="0.3">
      <c r="C313" s="120"/>
      <c r="D313" s="117"/>
      <c r="E313" s="117"/>
      <c r="F313" s="117"/>
      <c r="G313" s="117"/>
      <c r="H313" s="117"/>
      <c r="I313" s="45"/>
      <c r="J313" s="127"/>
      <c r="O313" s="128"/>
      <c r="P313" s="119"/>
      <c r="Q313" s="119"/>
    </row>
    <row r="314" spans="1:17" x14ac:dyDescent="0.3">
      <c r="A314" s="121" t="s">
        <v>90</v>
      </c>
      <c r="B314" t="s">
        <v>2180</v>
      </c>
      <c r="C314" s="120" t="s">
        <v>141</v>
      </c>
      <c r="D314" s="117"/>
      <c r="E314" s="117"/>
      <c r="F314" s="117" t="e">
        <v>#VALUE!</v>
      </c>
      <c r="G314" s="117" t="e">
        <f>F314-D314</f>
        <v>#VALUE!</v>
      </c>
      <c r="H314" s="117" t="e">
        <f>F314-E314</f>
        <v>#VALUE!</v>
      </c>
      <c r="I314" s="45"/>
      <c r="J314" s="127"/>
      <c r="O314" s="128">
        <v>11622</v>
      </c>
      <c r="P314" s="129" t="e">
        <f>F314-O314</f>
        <v>#VALUE!</v>
      </c>
      <c r="Q314" s="130" t="e">
        <f>P314/O314</f>
        <v>#VALUE!</v>
      </c>
    </row>
    <row r="315" spans="1:17" x14ac:dyDescent="0.3">
      <c r="A315" s="121" t="s">
        <v>90</v>
      </c>
      <c r="B315" t="s">
        <v>2180</v>
      </c>
      <c r="C315" s="120" t="s">
        <v>1506</v>
      </c>
      <c r="D315" s="117">
        <v>300</v>
      </c>
      <c r="E315" s="117">
        <f>D315</f>
        <v>300</v>
      </c>
      <c r="F315" s="117"/>
      <c r="G315" s="117">
        <f>F315-D315</f>
        <v>-300</v>
      </c>
      <c r="H315" s="117">
        <f>F315-E315</f>
        <v>-300</v>
      </c>
      <c r="I315" s="45"/>
      <c r="J315" s="127"/>
      <c r="O315" s="128">
        <v>130.43</v>
      </c>
      <c r="P315" s="129">
        <f>F315-O315</f>
        <v>-130.43</v>
      </c>
      <c r="Q315" s="130">
        <f>P315/O315</f>
        <v>-1</v>
      </c>
    </row>
    <row r="316" spans="1:17" x14ac:dyDescent="0.3">
      <c r="A316" s="121" t="s">
        <v>90</v>
      </c>
      <c r="B316" t="s">
        <v>2180</v>
      </c>
      <c r="C316" s="120" t="s">
        <v>322</v>
      </c>
      <c r="D316" s="117">
        <v>299</v>
      </c>
      <c r="E316" s="117">
        <f>D316</f>
        <v>299</v>
      </c>
      <c r="F316" s="117" t="e">
        <v>#VALUE!</v>
      </c>
      <c r="G316" s="117" t="e">
        <f>F316-D316</f>
        <v>#VALUE!</v>
      </c>
      <c r="H316" s="117" t="e">
        <f>F316-E316</f>
        <v>#VALUE!</v>
      </c>
      <c r="I316" s="45"/>
      <c r="J316" s="127"/>
      <c r="O316" s="128">
        <v>0</v>
      </c>
      <c r="P316" s="129" t="e">
        <f>F316-O316</f>
        <v>#VALUE!</v>
      </c>
      <c r="Q316" s="130" t="e">
        <f>P316/O316</f>
        <v>#VALUE!</v>
      </c>
    </row>
    <row r="317" spans="1:17" x14ac:dyDescent="0.3">
      <c r="A317" s="121" t="s">
        <v>90</v>
      </c>
      <c r="B317" t="s">
        <v>2180</v>
      </c>
      <c r="C317" s="120" t="s">
        <v>321</v>
      </c>
      <c r="D317" s="117"/>
      <c r="E317" s="117"/>
      <c r="F317" s="117" t="e">
        <v>#VALUE!</v>
      </c>
      <c r="G317" s="117" t="e">
        <f>F317-D317</f>
        <v>#VALUE!</v>
      </c>
      <c r="H317" s="117" t="e">
        <f>F317-E317</f>
        <v>#VALUE!</v>
      </c>
      <c r="I317" s="45"/>
      <c r="J317" s="127"/>
      <c r="O317" s="128"/>
      <c r="P317" s="129"/>
      <c r="Q317" s="130"/>
    </row>
    <row r="318" spans="1:17" x14ac:dyDescent="0.3">
      <c r="C318" s="121" t="s">
        <v>2184</v>
      </c>
      <c r="D318" s="122">
        <f>SUM(D314:D317)</f>
        <v>599</v>
      </c>
      <c r="E318" s="122">
        <f>SUM(E314:E317)</f>
        <v>599</v>
      </c>
      <c r="F318" s="122" t="e">
        <f>SUM(F314:F317)</f>
        <v>#VALUE!</v>
      </c>
      <c r="G318" s="122" t="e">
        <f>SUM(G310:G317)</f>
        <v>#VALUE!</v>
      </c>
      <c r="H318" s="122" t="e">
        <f>SUM(H310:H317)</f>
        <v>#VALUE!</v>
      </c>
      <c r="I318" s="123"/>
      <c r="J318" s="127"/>
      <c r="O318" s="131">
        <v>9622</v>
      </c>
      <c r="P318" s="129" t="e">
        <f>F318-O318</f>
        <v>#VALUE!</v>
      </c>
      <c r="Q318" s="130" t="e">
        <f>P318/O318</f>
        <v>#VALUE!</v>
      </c>
    </row>
    <row r="319" spans="1:17" x14ac:dyDescent="0.3">
      <c r="C319" s="120"/>
      <c r="D319" s="117"/>
      <c r="E319" s="117"/>
      <c r="F319" s="117"/>
      <c r="G319" s="117"/>
      <c r="H319" s="117"/>
      <c r="I319" s="45"/>
      <c r="J319" s="127"/>
      <c r="O319" s="128"/>
      <c r="P319" s="119"/>
      <c r="Q319" s="119"/>
    </row>
    <row r="320" spans="1:17" x14ac:dyDescent="0.3">
      <c r="A320" s="121" t="s">
        <v>90</v>
      </c>
      <c r="B320" t="s">
        <v>782</v>
      </c>
      <c r="C320" s="120" t="s">
        <v>784</v>
      </c>
      <c r="D320" s="117">
        <v>18753</v>
      </c>
      <c r="E320" s="117">
        <v>11217</v>
      </c>
      <c r="F320" s="117" t="e">
        <v>#VALUE!</v>
      </c>
      <c r="G320" s="117" t="e">
        <f>F320-D320</f>
        <v>#VALUE!</v>
      </c>
      <c r="H320" s="117" t="e">
        <f>F320-E320</f>
        <v>#VALUE!</v>
      </c>
      <c r="I320" s="45"/>
      <c r="J320" s="127"/>
      <c r="O320" s="128">
        <v>20240.150000000001</v>
      </c>
      <c r="P320" s="129" t="e">
        <f>F320-O320</f>
        <v>#VALUE!</v>
      </c>
      <c r="Q320" s="130" t="e">
        <f>P320/O320</f>
        <v>#VALUE!</v>
      </c>
    </row>
    <row r="321" spans="1:17" x14ac:dyDescent="0.3">
      <c r="A321" s="121" t="s">
        <v>90</v>
      </c>
      <c r="B321" t="s">
        <v>782</v>
      </c>
      <c r="C321" t="s">
        <v>783</v>
      </c>
      <c r="D321" s="117">
        <v>50168</v>
      </c>
      <c r="E321" s="117">
        <v>24589</v>
      </c>
      <c r="F321" s="117" t="e">
        <v>#VALUE!</v>
      </c>
      <c r="G321" s="117" t="e">
        <f>F321-D321</f>
        <v>#VALUE!</v>
      </c>
      <c r="H321" s="117" t="e">
        <f>F321-E321</f>
        <v>#VALUE!</v>
      </c>
      <c r="I321" s="45"/>
      <c r="J321" s="127"/>
      <c r="O321" s="128">
        <v>50652.32</v>
      </c>
      <c r="P321" s="129" t="e">
        <f>F321-O321</f>
        <v>#VALUE!</v>
      </c>
      <c r="Q321" s="130" t="e">
        <f>P321/O321</f>
        <v>#VALUE!</v>
      </c>
    </row>
    <row r="322" spans="1:17" x14ac:dyDescent="0.3">
      <c r="C322" s="121" t="s">
        <v>2170</v>
      </c>
      <c r="D322" s="122">
        <f>SUM(D320:D321)</f>
        <v>68921</v>
      </c>
      <c r="E322" s="122">
        <f>SUM(E320:E321)</f>
        <v>35806</v>
      </c>
      <c r="F322" s="122" t="e">
        <f>SUM(F320:F321)</f>
        <v>#VALUE!</v>
      </c>
      <c r="G322" s="122" t="e">
        <f>SUM(G320:G321)</f>
        <v>#VALUE!</v>
      </c>
      <c r="H322" s="122" t="e">
        <f>SUM(H320:H321)</f>
        <v>#VALUE!</v>
      </c>
      <c r="I322" s="123"/>
      <c r="J322" s="127"/>
      <c r="O322" s="131">
        <v>70892.47</v>
      </c>
      <c r="P322" s="129" t="e">
        <f>F322-O322</f>
        <v>#VALUE!</v>
      </c>
      <c r="Q322" s="130" t="e">
        <f>P322/O322</f>
        <v>#VALUE!</v>
      </c>
    </row>
    <row r="323" spans="1:17" x14ac:dyDescent="0.3">
      <c r="D323" s="117"/>
      <c r="E323" s="117"/>
      <c r="F323" s="117"/>
      <c r="G323" s="117"/>
      <c r="H323" s="117"/>
      <c r="I323" s="45"/>
      <c r="J323" s="127"/>
      <c r="O323" s="128"/>
      <c r="P323" s="119"/>
      <c r="Q323" s="119"/>
    </row>
    <row r="324" spans="1:17" x14ac:dyDescent="0.3">
      <c r="C324" s="121" t="s">
        <v>2156</v>
      </c>
      <c r="D324" s="122">
        <f>D312+D318+D322+D288</f>
        <v>105671</v>
      </c>
      <c r="E324" s="122">
        <f>E312+E318+E322+E288</f>
        <v>70556</v>
      </c>
      <c r="F324" s="122" t="e">
        <f>F312+F318+F322+F288</f>
        <v>#VALUE!</v>
      </c>
      <c r="G324" s="122" t="e">
        <f>G312+G318+G322+G288</f>
        <v>#VALUE!</v>
      </c>
      <c r="H324" s="122" t="e">
        <f>H312+H318+H322+H288</f>
        <v>#VALUE!</v>
      </c>
      <c r="I324" s="123"/>
      <c r="J324" s="127" t="e">
        <v>#VALUE!</v>
      </c>
      <c r="O324" s="131">
        <v>88919.09</v>
      </c>
      <c r="P324" s="129" t="e">
        <f>F324-O324</f>
        <v>#VALUE!</v>
      </c>
      <c r="Q324" s="130" t="e">
        <f>P324/O324</f>
        <v>#VALUE!</v>
      </c>
    </row>
    <row r="325" spans="1:17" ht="30" x14ac:dyDescent="0.6">
      <c r="D325" s="117"/>
      <c r="E325" s="132" t="e">
        <f>IF(F325="","","CHECK")</f>
        <v>#VALUE!</v>
      </c>
      <c r="F325" s="132" t="e">
        <v>#VALUE!</v>
      </c>
      <c r="G325" s="117"/>
      <c r="H325" s="117"/>
      <c r="I325" s="45"/>
      <c r="J325" s="127"/>
      <c r="O325" s="128"/>
      <c r="P325" s="119"/>
      <c r="Q325" s="119"/>
    </row>
    <row r="326" spans="1:17" x14ac:dyDescent="0.3">
      <c r="A326" s="138" t="s">
        <v>1963</v>
      </c>
      <c r="B326" s="139" t="s">
        <v>53</v>
      </c>
      <c r="C326" s="139" t="s">
        <v>349</v>
      </c>
      <c r="D326" s="117">
        <v>148954</v>
      </c>
      <c r="E326" s="117">
        <f>D326</f>
        <v>148954</v>
      </c>
      <c r="F326" s="117" t="e">
        <v>#VALUE!</v>
      </c>
      <c r="G326" s="117" t="e">
        <f>F326-D326</f>
        <v>#VALUE!</v>
      </c>
      <c r="H326" s="117" t="e">
        <f>F326-E326</f>
        <v>#VALUE!</v>
      </c>
      <c r="I326" s="140"/>
      <c r="J326" s="127"/>
      <c r="O326" s="134">
        <v>157193.62</v>
      </c>
      <c r="P326" s="129" t="e">
        <f>F326-O326</f>
        <v>#VALUE!</v>
      </c>
      <c r="Q326" s="130" t="e">
        <f>P326/O326</f>
        <v>#VALUE!</v>
      </c>
    </row>
    <row r="327" spans="1:17" x14ac:dyDescent="0.3">
      <c r="A327" s="138" t="s">
        <v>1963</v>
      </c>
      <c r="B327" s="139" t="s">
        <v>53</v>
      </c>
      <c r="C327" s="139" t="s">
        <v>816</v>
      </c>
      <c r="D327" s="117">
        <v>13226</v>
      </c>
      <c r="E327" s="117">
        <v>10844</v>
      </c>
      <c r="F327" s="117" t="e">
        <v>#VALUE!</v>
      </c>
      <c r="G327" s="117" t="e">
        <f>F327-D327</f>
        <v>#VALUE!</v>
      </c>
      <c r="H327" s="117" t="e">
        <f>F327-E327</f>
        <v>#VALUE!</v>
      </c>
      <c r="I327" s="140"/>
      <c r="J327" s="127"/>
      <c r="O327" s="134">
        <v>11693.5</v>
      </c>
      <c r="P327" s="129" t="e">
        <f>F327-O327</f>
        <v>#VALUE!</v>
      </c>
      <c r="Q327" s="130" t="e">
        <f>P327/O327</f>
        <v>#VALUE!</v>
      </c>
    </row>
    <row r="328" spans="1:17" x14ac:dyDescent="0.3">
      <c r="A328" s="138" t="s">
        <v>1963</v>
      </c>
      <c r="B328" s="139" t="s">
        <v>53</v>
      </c>
      <c r="C328" s="139" t="s">
        <v>817</v>
      </c>
      <c r="D328" s="117">
        <v>29538</v>
      </c>
      <c r="E328" s="117">
        <v>28073</v>
      </c>
      <c r="F328" s="117" t="e">
        <v>#VALUE!</v>
      </c>
      <c r="G328" s="117" t="e">
        <f>F328-D328</f>
        <v>#VALUE!</v>
      </c>
      <c r="H328" s="117" t="e">
        <f>F328-E328</f>
        <v>#VALUE!</v>
      </c>
      <c r="I328" s="140"/>
      <c r="J328" s="127"/>
      <c r="O328" s="134">
        <v>29128.1</v>
      </c>
      <c r="P328" s="129" t="e">
        <f>F328-O328</f>
        <v>#VALUE!</v>
      </c>
      <c r="Q328" s="130" t="e">
        <f>P328/O328</f>
        <v>#VALUE!</v>
      </c>
    </row>
    <row r="329" spans="1:17" x14ac:dyDescent="0.3">
      <c r="A329" s="138" t="s">
        <v>1963</v>
      </c>
      <c r="B329" s="139" t="s">
        <v>53</v>
      </c>
      <c r="C329" s="139" t="s">
        <v>350</v>
      </c>
      <c r="D329" s="117">
        <v>2263</v>
      </c>
      <c r="E329" s="117">
        <f>D329</f>
        <v>2263</v>
      </c>
      <c r="F329" s="117" t="e">
        <v>#VALUE!</v>
      </c>
      <c r="G329" s="117" t="e">
        <f>F329-D329</f>
        <v>#VALUE!</v>
      </c>
      <c r="H329" s="117" t="e">
        <f>F329-E329</f>
        <v>#VALUE!</v>
      </c>
      <c r="I329" s="140"/>
      <c r="J329" s="127"/>
      <c r="O329" s="134">
        <v>1270</v>
      </c>
      <c r="P329" s="129" t="e">
        <f>F329-O329</f>
        <v>#VALUE!</v>
      </c>
      <c r="Q329" s="130" t="e">
        <f>P329/O329</f>
        <v>#VALUE!</v>
      </c>
    </row>
    <row r="330" spans="1:17" x14ac:dyDescent="0.3">
      <c r="A330" s="139"/>
      <c r="B330" s="139"/>
      <c r="C330" s="138" t="s">
        <v>2164</v>
      </c>
      <c r="D330" s="122">
        <f>SUM(D326:D329)</f>
        <v>193981</v>
      </c>
      <c r="E330" s="122">
        <f>SUM(E326:E329)</f>
        <v>190134</v>
      </c>
      <c r="F330" s="122" t="e">
        <f>SUM(F326:F329)</f>
        <v>#VALUE!</v>
      </c>
      <c r="G330" s="122" t="e">
        <f>SUM(G326:G329)</f>
        <v>#VALUE!</v>
      </c>
      <c r="H330" s="122" t="e">
        <f>SUM(H326:H329)</f>
        <v>#VALUE!</v>
      </c>
      <c r="I330" s="138"/>
      <c r="J330" s="127"/>
      <c r="O330" s="131">
        <v>199285.22</v>
      </c>
      <c r="P330" s="129" t="e">
        <f>F330-O330</f>
        <v>#VALUE!</v>
      </c>
      <c r="Q330" s="130" t="e">
        <f>P330/O330</f>
        <v>#VALUE!</v>
      </c>
    </row>
    <row r="331" spans="1:17" x14ac:dyDescent="0.3">
      <c r="A331" s="139"/>
      <c r="B331" s="139"/>
      <c r="C331" s="139"/>
      <c r="D331" s="117"/>
      <c r="E331" s="117"/>
      <c r="F331" s="117"/>
      <c r="G331" s="117"/>
      <c r="H331" s="117"/>
      <c r="I331" s="140"/>
      <c r="J331" s="127"/>
      <c r="O331" s="134"/>
      <c r="P331" s="119"/>
      <c r="Q331" s="119"/>
    </row>
    <row r="332" spans="1:17" x14ac:dyDescent="0.3">
      <c r="A332" s="138" t="s">
        <v>1963</v>
      </c>
      <c r="B332" s="139" t="s">
        <v>756</v>
      </c>
      <c r="C332" s="139" t="s">
        <v>818</v>
      </c>
      <c r="D332" s="117">
        <v>923</v>
      </c>
      <c r="E332" s="117">
        <f>D332</f>
        <v>923</v>
      </c>
      <c r="F332" s="117" t="e">
        <v>#VALUE!</v>
      </c>
      <c r="G332" s="117" t="e">
        <f>F332-D332</f>
        <v>#VALUE!</v>
      </c>
      <c r="H332" s="117" t="e">
        <f>F332-E332</f>
        <v>#VALUE!</v>
      </c>
      <c r="I332" s="140"/>
      <c r="J332" s="127"/>
      <c r="O332" s="134">
        <v>475.64</v>
      </c>
      <c r="P332" s="129" t="e">
        <f>F332-O332</f>
        <v>#VALUE!</v>
      </c>
      <c r="Q332" s="130" t="e">
        <f>P332/O332</f>
        <v>#VALUE!</v>
      </c>
    </row>
    <row r="333" spans="1:17" x14ac:dyDescent="0.3">
      <c r="A333" s="139"/>
      <c r="B333" s="139"/>
      <c r="C333" s="138" t="s">
        <v>2218</v>
      </c>
      <c r="D333" s="122">
        <f>SUM(D332)</f>
        <v>923</v>
      </c>
      <c r="E333" s="122">
        <f>SUM(E332)</f>
        <v>923</v>
      </c>
      <c r="F333" s="122" t="e">
        <f>SUM(F332)</f>
        <v>#VALUE!</v>
      </c>
      <c r="G333" s="122" t="e">
        <f>SUM(G332)</f>
        <v>#VALUE!</v>
      </c>
      <c r="H333" s="122" t="e">
        <f>SUM(H332)</f>
        <v>#VALUE!</v>
      </c>
      <c r="I333" s="138"/>
      <c r="J333" s="127"/>
      <c r="O333" s="131">
        <v>475.64</v>
      </c>
      <c r="P333" s="129" t="e">
        <f>F333-O333</f>
        <v>#VALUE!</v>
      </c>
      <c r="Q333" s="130" t="e">
        <f>P333/O333</f>
        <v>#VALUE!</v>
      </c>
    </row>
    <row r="334" spans="1:17" x14ac:dyDescent="0.3">
      <c r="A334" s="139"/>
      <c r="B334" s="139"/>
      <c r="C334" s="139"/>
      <c r="D334" s="117"/>
      <c r="E334" s="117"/>
      <c r="F334" s="117"/>
      <c r="G334" s="117"/>
      <c r="H334" s="117"/>
      <c r="I334" s="140"/>
      <c r="J334" s="127"/>
      <c r="O334" s="134"/>
      <c r="P334" s="119"/>
      <c r="Q334" s="119"/>
    </row>
    <row r="335" spans="1:17" x14ac:dyDescent="0.3">
      <c r="A335" s="138" t="s">
        <v>1963</v>
      </c>
      <c r="B335" s="139" t="s">
        <v>755</v>
      </c>
      <c r="C335" s="139" t="s">
        <v>1633</v>
      </c>
      <c r="D335" s="117">
        <v>2659</v>
      </c>
      <c r="E335" s="117">
        <f t="shared" ref="E335:E340" si="45">D335</f>
        <v>2659</v>
      </c>
      <c r="F335" s="117" t="e">
        <v>#VALUE!</v>
      </c>
      <c r="G335" s="117" t="e">
        <f t="shared" ref="G335:G340" si="46">F335-D335</f>
        <v>#VALUE!</v>
      </c>
      <c r="H335" s="117" t="e">
        <f t="shared" ref="H335:H340" si="47">F335-E335</f>
        <v>#VALUE!</v>
      </c>
      <c r="I335" s="140"/>
      <c r="J335" s="127"/>
      <c r="O335" s="134">
        <v>2990.66</v>
      </c>
      <c r="P335" s="129" t="e">
        <f t="shared" ref="P335:P341" si="48">F335-O335</f>
        <v>#VALUE!</v>
      </c>
      <c r="Q335" s="130" t="e">
        <f t="shared" ref="Q335:Q341" si="49">P335/O335</f>
        <v>#VALUE!</v>
      </c>
    </row>
    <row r="336" spans="1:17" x14ac:dyDescent="0.3">
      <c r="A336" s="138" t="s">
        <v>1963</v>
      </c>
      <c r="B336" s="139" t="s">
        <v>755</v>
      </c>
      <c r="C336" s="139" t="s">
        <v>344</v>
      </c>
      <c r="D336" s="117">
        <v>4140</v>
      </c>
      <c r="E336" s="117">
        <f t="shared" si="45"/>
        <v>4140</v>
      </c>
      <c r="F336" s="117" t="e">
        <v>#VALUE!</v>
      </c>
      <c r="G336" s="117" t="e">
        <f t="shared" si="46"/>
        <v>#VALUE!</v>
      </c>
      <c r="H336" s="117" t="e">
        <f t="shared" si="47"/>
        <v>#VALUE!</v>
      </c>
      <c r="I336" s="140"/>
      <c r="J336" s="127"/>
      <c r="O336" s="134">
        <v>2682</v>
      </c>
      <c r="P336" s="129" t="e">
        <f t="shared" si="48"/>
        <v>#VALUE!</v>
      </c>
      <c r="Q336" s="130" t="e">
        <f t="shared" si="49"/>
        <v>#VALUE!</v>
      </c>
    </row>
    <row r="337" spans="1:17" x14ac:dyDescent="0.3">
      <c r="A337" s="138" t="s">
        <v>1963</v>
      </c>
      <c r="B337" s="139" t="s">
        <v>755</v>
      </c>
      <c r="C337" s="139" t="s">
        <v>820</v>
      </c>
      <c r="D337" s="117">
        <v>2350</v>
      </c>
      <c r="E337" s="117">
        <f t="shared" si="45"/>
        <v>2350</v>
      </c>
      <c r="F337" s="117" t="e">
        <v>#VALUE!</v>
      </c>
      <c r="G337" s="117" t="e">
        <f t="shared" si="46"/>
        <v>#VALUE!</v>
      </c>
      <c r="H337" s="117" t="e">
        <f t="shared" si="47"/>
        <v>#VALUE!</v>
      </c>
      <c r="I337" s="140"/>
      <c r="J337" s="127"/>
      <c r="O337" s="134">
        <v>858.75</v>
      </c>
      <c r="P337" s="129" t="e">
        <f t="shared" si="48"/>
        <v>#VALUE!</v>
      </c>
      <c r="Q337" s="130" t="e">
        <f t="shared" si="49"/>
        <v>#VALUE!</v>
      </c>
    </row>
    <row r="338" spans="1:17" x14ac:dyDescent="0.3">
      <c r="A338" s="138" t="s">
        <v>1963</v>
      </c>
      <c r="B338" s="139" t="s">
        <v>755</v>
      </c>
      <c r="C338" s="139" t="s">
        <v>341</v>
      </c>
      <c r="D338" s="117">
        <v>2250</v>
      </c>
      <c r="E338" s="117">
        <f t="shared" si="45"/>
        <v>2250</v>
      </c>
      <c r="F338" s="117" t="e">
        <v>#VALUE!</v>
      </c>
      <c r="G338" s="117" t="e">
        <f t="shared" si="46"/>
        <v>#VALUE!</v>
      </c>
      <c r="H338" s="117" t="e">
        <f t="shared" si="47"/>
        <v>#VALUE!</v>
      </c>
      <c r="I338" s="140"/>
      <c r="J338" s="127"/>
      <c r="O338" s="134">
        <v>1736.16</v>
      </c>
      <c r="P338" s="129" t="e">
        <f t="shared" si="48"/>
        <v>#VALUE!</v>
      </c>
      <c r="Q338" s="130" t="e">
        <f t="shared" si="49"/>
        <v>#VALUE!</v>
      </c>
    </row>
    <row r="339" spans="1:17" x14ac:dyDescent="0.3">
      <c r="A339" s="138" t="s">
        <v>1963</v>
      </c>
      <c r="B339" s="139" t="s">
        <v>755</v>
      </c>
      <c r="C339" s="139" t="s">
        <v>342</v>
      </c>
      <c r="D339" s="117">
        <v>215</v>
      </c>
      <c r="E339" s="117">
        <f t="shared" si="45"/>
        <v>215</v>
      </c>
      <c r="F339" s="117" t="e">
        <v>#VALUE!</v>
      </c>
      <c r="G339" s="117" t="e">
        <f t="shared" si="46"/>
        <v>#VALUE!</v>
      </c>
      <c r="H339" s="117" t="e">
        <f t="shared" si="47"/>
        <v>#VALUE!</v>
      </c>
      <c r="I339" s="140"/>
      <c r="J339" s="127"/>
      <c r="O339" s="134">
        <v>163.62</v>
      </c>
      <c r="P339" s="129" t="e">
        <f t="shared" si="48"/>
        <v>#VALUE!</v>
      </c>
      <c r="Q339" s="130" t="e">
        <f t="shared" si="49"/>
        <v>#VALUE!</v>
      </c>
    </row>
    <row r="340" spans="1:17" x14ac:dyDescent="0.3">
      <c r="A340" s="138" t="s">
        <v>1963</v>
      </c>
      <c r="B340" s="139" t="s">
        <v>755</v>
      </c>
      <c r="C340" s="139" t="s">
        <v>351</v>
      </c>
      <c r="D340" s="117">
        <v>2614</v>
      </c>
      <c r="E340" s="117">
        <f t="shared" si="45"/>
        <v>2614</v>
      </c>
      <c r="F340" s="117" t="e">
        <v>#VALUE!</v>
      </c>
      <c r="G340" s="117" t="e">
        <f t="shared" si="46"/>
        <v>#VALUE!</v>
      </c>
      <c r="H340" s="117" t="e">
        <f t="shared" si="47"/>
        <v>#VALUE!</v>
      </c>
      <c r="I340" s="140"/>
      <c r="J340" s="127"/>
      <c r="O340" s="134">
        <v>1343.44</v>
      </c>
      <c r="P340" s="129" t="e">
        <f t="shared" si="48"/>
        <v>#VALUE!</v>
      </c>
      <c r="Q340" s="130" t="e">
        <f t="shared" si="49"/>
        <v>#VALUE!</v>
      </c>
    </row>
    <row r="341" spans="1:17" x14ac:dyDescent="0.3">
      <c r="A341" s="139"/>
      <c r="B341" s="139"/>
      <c r="C341" s="138" t="s">
        <v>2165</v>
      </c>
      <c r="D341" s="122">
        <f>SUM(D335:D340)</f>
        <v>14228</v>
      </c>
      <c r="E341" s="122">
        <f>SUM(E335:E340)</f>
        <v>14228</v>
      </c>
      <c r="F341" s="122" t="e">
        <f>SUM(F335:F340)</f>
        <v>#VALUE!</v>
      </c>
      <c r="G341" s="122" t="e">
        <f>SUM(G335:G340)</f>
        <v>#VALUE!</v>
      </c>
      <c r="H341" s="122" t="e">
        <f>SUM(H335:H340)</f>
        <v>#VALUE!</v>
      </c>
      <c r="I341" s="138"/>
      <c r="J341" s="127"/>
      <c r="O341" s="131">
        <v>20922.66</v>
      </c>
      <c r="P341" s="129" t="e">
        <f t="shared" si="48"/>
        <v>#VALUE!</v>
      </c>
      <c r="Q341" s="130" t="e">
        <f t="shared" si="49"/>
        <v>#VALUE!</v>
      </c>
    </row>
    <row r="342" spans="1:17" x14ac:dyDescent="0.3">
      <c r="A342" s="139"/>
      <c r="B342" s="139"/>
      <c r="C342" s="139"/>
      <c r="D342" s="117"/>
      <c r="E342" s="117"/>
      <c r="F342" s="117"/>
      <c r="G342" s="117"/>
      <c r="H342" s="117"/>
      <c r="I342" s="140"/>
      <c r="J342" s="127"/>
      <c r="O342" s="134"/>
      <c r="P342" s="119"/>
      <c r="Q342" s="119"/>
    </row>
    <row r="343" spans="1:17" x14ac:dyDescent="0.3">
      <c r="A343" s="138" t="s">
        <v>1963</v>
      </c>
      <c r="B343" s="139" t="s">
        <v>757</v>
      </c>
      <c r="C343" s="139" t="s">
        <v>1680</v>
      </c>
      <c r="D343" s="117">
        <v>4490</v>
      </c>
      <c r="E343" s="117">
        <f>D343</f>
        <v>4490</v>
      </c>
      <c r="F343" s="117" t="e">
        <v>#VALUE!</v>
      </c>
      <c r="G343" s="117" t="e">
        <f t="shared" ref="G343:G358" si="50">F343-D343</f>
        <v>#VALUE!</v>
      </c>
      <c r="H343" s="117" t="e">
        <f t="shared" ref="H343:H358" si="51">F343-E343</f>
        <v>#VALUE!</v>
      </c>
      <c r="I343" s="140"/>
      <c r="J343" s="127"/>
      <c r="O343" s="134">
        <v>3611.81</v>
      </c>
      <c r="P343" s="129" t="e">
        <f t="shared" ref="P343:P351" si="52">F343-O343</f>
        <v>#VALUE!</v>
      </c>
      <c r="Q343" s="130" t="e">
        <f t="shared" ref="Q343:Q351" si="53">P343/O343</f>
        <v>#VALUE!</v>
      </c>
    </row>
    <row r="344" spans="1:17" x14ac:dyDescent="0.3">
      <c r="A344" s="138" t="s">
        <v>1963</v>
      </c>
      <c r="B344" s="139" t="s">
        <v>757</v>
      </c>
      <c r="C344" s="139" t="s">
        <v>821</v>
      </c>
      <c r="D344" s="117">
        <v>16440</v>
      </c>
      <c r="E344" s="117">
        <v>23276</v>
      </c>
      <c r="F344" s="117" t="e">
        <v>#VALUE!</v>
      </c>
      <c r="G344" s="117" t="e">
        <f>F344-D344</f>
        <v>#VALUE!</v>
      </c>
      <c r="H344" s="117" t="e">
        <f t="shared" si="51"/>
        <v>#VALUE!</v>
      </c>
      <c r="I344" s="140"/>
      <c r="J344" s="127"/>
      <c r="O344" s="134">
        <v>11148.03</v>
      </c>
      <c r="P344" s="129" t="e">
        <f>F344-O344</f>
        <v>#VALUE!</v>
      </c>
      <c r="Q344" s="130" t="e">
        <f>P344/O344</f>
        <v>#VALUE!</v>
      </c>
    </row>
    <row r="345" spans="1:17" x14ac:dyDescent="0.3">
      <c r="A345" s="138" t="s">
        <v>1963</v>
      </c>
      <c r="B345" s="139" t="s">
        <v>757</v>
      </c>
      <c r="C345" s="139" t="s">
        <v>1683</v>
      </c>
      <c r="D345" s="117">
        <v>3075</v>
      </c>
      <c r="E345" s="117">
        <f t="shared" ref="E345:E358" si="54">D345</f>
        <v>3075</v>
      </c>
      <c r="F345" s="117" t="e">
        <v>#VALUE!</v>
      </c>
      <c r="G345" s="117" t="e">
        <f t="shared" si="50"/>
        <v>#VALUE!</v>
      </c>
      <c r="H345" s="117" t="e">
        <f t="shared" si="51"/>
        <v>#VALUE!</v>
      </c>
      <c r="I345" s="140"/>
      <c r="J345" s="127"/>
      <c r="O345" s="134">
        <v>954</v>
      </c>
      <c r="P345" s="129" t="e">
        <f t="shared" si="52"/>
        <v>#VALUE!</v>
      </c>
      <c r="Q345" s="130" t="e">
        <f t="shared" si="53"/>
        <v>#VALUE!</v>
      </c>
    </row>
    <row r="346" spans="1:17" x14ac:dyDescent="0.3">
      <c r="A346" s="138" t="s">
        <v>1963</v>
      </c>
      <c r="B346" s="139" t="s">
        <v>757</v>
      </c>
      <c r="C346" s="139" t="s">
        <v>1685</v>
      </c>
      <c r="D346" s="117">
        <v>697</v>
      </c>
      <c r="E346" s="117">
        <f t="shared" si="54"/>
        <v>697</v>
      </c>
      <c r="F346" s="117" t="e">
        <v>#VALUE!</v>
      </c>
      <c r="G346" s="117" t="e">
        <f t="shared" si="50"/>
        <v>#VALUE!</v>
      </c>
      <c r="H346" s="117" t="e">
        <f t="shared" si="51"/>
        <v>#VALUE!</v>
      </c>
      <c r="I346" s="140"/>
      <c r="J346" s="127"/>
      <c r="O346" s="134">
        <v>11.49</v>
      </c>
      <c r="P346" s="129" t="e">
        <f t="shared" si="52"/>
        <v>#VALUE!</v>
      </c>
      <c r="Q346" s="130" t="e">
        <f t="shared" si="53"/>
        <v>#VALUE!</v>
      </c>
    </row>
    <row r="347" spans="1:17" x14ac:dyDescent="0.3">
      <c r="A347" s="138" t="s">
        <v>1963</v>
      </c>
      <c r="B347" s="139" t="s">
        <v>757</v>
      </c>
      <c r="C347" s="139" t="s">
        <v>1518</v>
      </c>
      <c r="D347" s="117">
        <v>7677</v>
      </c>
      <c r="E347" s="117">
        <f t="shared" si="54"/>
        <v>7677</v>
      </c>
      <c r="F347" s="117" t="e">
        <v>#VALUE!</v>
      </c>
      <c r="G347" s="117" t="e">
        <f t="shared" si="50"/>
        <v>#VALUE!</v>
      </c>
      <c r="H347" s="117" t="e">
        <f t="shared" si="51"/>
        <v>#VALUE!</v>
      </c>
      <c r="I347" s="140"/>
      <c r="J347" s="127"/>
      <c r="O347" s="134">
        <v>6854.21</v>
      </c>
      <c r="P347" s="129" t="e">
        <f t="shared" si="52"/>
        <v>#VALUE!</v>
      </c>
      <c r="Q347" s="130" t="e">
        <f t="shared" si="53"/>
        <v>#VALUE!</v>
      </c>
    </row>
    <row r="348" spans="1:17" x14ac:dyDescent="0.3">
      <c r="A348" s="138" t="s">
        <v>1963</v>
      </c>
      <c r="B348" s="139" t="s">
        <v>757</v>
      </c>
      <c r="C348" s="139" t="s">
        <v>1692</v>
      </c>
      <c r="D348" s="117">
        <v>359</v>
      </c>
      <c r="E348" s="117">
        <f t="shared" si="54"/>
        <v>359</v>
      </c>
      <c r="F348" s="117" t="e">
        <v>#VALUE!</v>
      </c>
      <c r="G348" s="117" t="e">
        <f t="shared" si="50"/>
        <v>#VALUE!</v>
      </c>
      <c r="H348" s="117" t="e">
        <f t="shared" si="51"/>
        <v>#VALUE!</v>
      </c>
      <c r="I348" s="140"/>
      <c r="J348" s="127"/>
      <c r="O348" s="134">
        <v>252.88</v>
      </c>
      <c r="P348" s="129" t="e">
        <f t="shared" si="52"/>
        <v>#VALUE!</v>
      </c>
      <c r="Q348" s="130" t="e">
        <f t="shared" si="53"/>
        <v>#VALUE!</v>
      </c>
    </row>
    <row r="349" spans="1:17" x14ac:dyDescent="0.3">
      <c r="A349" s="138" t="s">
        <v>1963</v>
      </c>
      <c r="B349" s="139" t="s">
        <v>757</v>
      </c>
      <c r="C349" s="139" t="s">
        <v>819</v>
      </c>
      <c r="D349" s="117">
        <v>1025</v>
      </c>
      <c r="E349" s="117">
        <f t="shared" si="54"/>
        <v>1025</v>
      </c>
      <c r="F349" s="117" t="e">
        <v>#VALUE!</v>
      </c>
      <c r="G349" s="117" t="e">
        <f t="shared" si="50"/>
        <v>#VALUE!</v>
      </c>
      <c r="H349" s="117" t="e">
        <f t="shared" si="51"/>
        <v>#VALUE!</v>
      </c>
      <c r="I349" s="140"/>
      <c r="J349" s="127"/>
      <c r="O349" s="134">
        <v>2958.03</v>
      </c>
      <c r="P349" s="129" t="e">
        <f t="shared" si="52"/>
        <v>#VALUE!</v>
      </c>
      <c r="Q349" s="130" t="e">
        <f t="shared" si="53"/>
        <v>#VALUE!</v>
      </c>
    </row>
    <row r="350" spans="1:17" x14ac:dyDescent="0.3">
      <c r="A350" s="138" t="s">
        <v>1963</v>
      </c>
      <c r="B350" s="139" t="s">
        <v>757</v>
      </c>
      <c r="C350" s="139" t="s">
        <v>352</v>
      </c>
      <c r="D350" s="117">
        <v>2882</v>
      </c>
      <c r="E350" s="117">
        <f t="shared" si="54"/>
        <v>2882</v>
      </c>
      <c r="F350" s="117" t="e">
        <v>#VALUE!</v>
      </c>
      <c r="G350" s="117" t="e">
        <f t="shared" si="50"/>
        <v>#VALUE!</v>
      </c>
      <c r="H350" s="117" t="e">
        <f t="shared" si="51"/>
        <v>#VALUE!</v>
      </c>
      <c r="I350" s="140"/>
      <c r="J350" s="127"/>
      <c r="O350" s="134">
        <v>2657.52</v>
      </c>
      <c r="P350" s="129" t="e">
        <f t="shared" si="52"/>
        <v>#VALUE!</v>
      </c>
      <c r="Q350" s="130" t="e">
        <f t="shared" si="53"/>
        <v>#VALUE!</v>
      </c>
    </row>
    <row r="351" spans="1:17" x14ac:dyDescent="0.3">
      <c r="A351" s="138" t="s">
        <v>1963</v>
      </c>
      <c r="B351" s="139" t="s">
        <v>757</v>
      </c>
      <c r="C351" s="139" t="s">
        <v>956</v>
      </c>
      <c r="D351" s="117">
        <v>9024</v>
      </c>
      <c r="E351" s="117">
        <v>3000</v>
      </c>
      <c r="F351" s="117" t="e">
        <v>#VALUE!</v>
      </c>
      <c r="G351" s="117" t="e">
        <f t="shared" si="50"/>
        <v>#VALUE!</v>
      </c>
      <c r="H351" s="117" t="e">
        <f t="shared" si="51"/>
        <v>#VALUE!</v>
      </c>
      <c r="I351" s="140"/>
      <c r="J351" s="127"/>
      <c r="O351" s="134">
        <v>14293.17</v>
      </c>
      <c r="P351" s="129" t="e">
        <f t="shared" si="52"/>
        <v>#VALUE!</v>
      </c>
      <c r="Q351" s="130" t="e">
        <f t="shared" si="53"/>
        <v>#VALUE!</v>
      </c>
    </row>
    <row r="352" spans="1:17" x14ac:dyDescent="0.3">
      <c r="A352" s="138" t="s">
        <v>1963</v>
      </c>
      <c r="B352" s="139" t="s">
        <v>757</v>
      </c>
      <c r="C352" s="139" t="s">
        <v>1732</v>
      </c>
      <c r="D352" s="117"/>
      <c r="E352" s="117">
        <f t="shared" si="54"/>
        <v>0</v>
      </c>
      <c r="F352" s="117" t="e">
        <v>#VALUE!</v>
      </c>
      <c r="G352" s="117" t="e">
        <f t="shared" si="50"/>
        <v>#VALUE!</v>
      </c>
      <c r="H352" s="117" t="e">
        <f t="shared" si="51"/>
        <v>#VALUE!</v>
      </c>
      <c r="I352" s="140"/>
      <c r="J352" s="127"/>
      <c r="O352" s="134"/>
      <c r="P352" s="129"/>
      <c r="Q352" s="130"/>
    </row>
    <row r="353" spans="1:17" x14ac:dyDescent="0.3">
      <c r="A353" s="138" t="s">
        <v>1963</v>
      </c>
      <c r="B353" s="139" t="s">
        <v>757</v>
      </c>
      <c r="C353" s="139" t="s">
        <v>945</v>
      </c>
      <c r="D353" s="117">
        <v>205</v>
      </c>
      <c r="E353" s="117">
        <f t="shared" si="54"/>
        <v>205</v>
      </c>
      <c r="F353" s="117" t="e">
        <v>#VALUE!</v>
      </c>
      <c r="G353" s="117" t="e">
        <f t="shared" si="50"/>
        <v>#VALUE!</v>
      </c>
      <c r="H353" s="117" t="e">
        <f t="shared" si="51"/>
        <v>#VALUE!</v>
      </c>
      <c r="I353" s="140"/>
      <c r="J353" s="127"/>
      <c r="O353" s="134">
        <v>35.130000000000003</v>
      </c>
      <c r="P353" s="129" t="e">
        <f>F353-O353</f>
        <v>#VALUE!</v>
      </c>
      <c r="Q353" s="130" t="e">
        <f>P353/O353</f>
        <v>#VALUE!</v>
      </c>
    </row>
    <row r="354" spans="1:17" x14ac:dyDescent="0.3">
      <c r="A354" s="138" t="s">
        <v>1963</v>
      </c>
      <c r="B354" s="139" t="s">
        <v>757</v>
      </c>
      <c r="C354" s="139" t="s">
        <v>356</v>
      </c>
      <c r="D354" s="117">
        <v>2429</v>
      </c>
      <c r="E354" s="117">
        <f t="shared" si="54"/>
        <v>2429</v>
      </c>
      <c r="F354" s="117" t="e">
        <v>#VALUE!</v>
      </c>
      <c r="G354" s="117" t="e">
        <f t="shared" si="50"/>
        <v>#VALUE!</v>
      </c>
      <c r="H354" s="117" t="e">
        <f t="shared" si="51"/>
        <v>#VALUE!</v>
      </c>
      <c r="I354" s="140"/>
      <c r="J354" s="127"/>
      <c r="O354" s="134">
        <v>2060.63</v>
      </c>
      <c r="P354" s="129" t="e">
        <f>F354-O354</f>
        <v>#VALUE!</v>
      </c>
      <c r="Q354" s="130" t="e">
        <f>P354/O354</f>
        <v>#VALUE!</v>
      </c>
    </row>
    <row r="355" spans="1:17" x14ac:dyDescent="0.3">
      <c r="A355" s="138" t="s">
        <v>1963</v>
      </c>
      <c r="B355" s="139" t="s">
        <v>757</v>
      </c>
      <c r="C355" s="139" t="s">
        <v>822</v>
      </c>
      <c r="D355" s="117">
        <v>4213</v>
      </c>
      <c r="E355" s="117">
        <f t="shared" si="54"/>
        <v>4213</v>
      </c>
      <c r="F355" s="117" t="e">
        <v>#VALUE!</v>
      </c>
      <c r="G355" s="117" t="e">
        <f t="shared" si="50"/>
        <v>#VALUE!</v>
      </c>
      <c r="H355" s="117" t="e">
        <f t="shared" si="51"/>
        <v>#VALUE!</v>
      </c>
      <c r="I355" s="140"/>
      <c r="J355" s="127"/>
      <c r="O355" s="134">
        <v>3339.35</v>
      </c>
      <c r="P355" s="129" t="e">
        <f>F355-O355</f>
        <v>#VALUE!</v>
      </c>
      <c r="Q355" s="130" t="e">
        <f>P355/O355</f>
        <v>#VALUE!</v>
      </c>
    </row>
    <row r="356" spans="1:17" x14ac:dyDescent="0.3">
      <c r="A356" s="138" t="s">
        <v>1963</v>
      </c>
      <c r="B356" s="139" t="s">
        <v>757</v>
      </c>
      <c r="C356" s="139" t="s">
        <v>990</v>
      </c>
      <c r="D356" s="117">
        <v>0</v>
      </c>
      <c r="E356" s="117">
        <f t="shared" si="54"/>
        <v>0</v>
      </c>
      <c r="F356" s="117" t="e">
        <v>#VALUE!</v>
      </c>
      <c r="G356" s="117" t="e">
        <f t="shared" si="50"/>
        <v>#VALUE!</v>
      </c>
      <c r="H356" s="117" t="e">
        <f t="shared" si="51"/>
        <v>#VALUE!</v>
      </c>
      <c r="I356" s="140"/>
      <c r="J356" s="127"/>
      <c r="O356" s="134"/>
      <c r="P356" s="129"/>
      <c r="Q356" s="130"/>
    </row>
    <row r="357" spans="1:17" x14ac:dyDescent="0.3">
      <c r="A357" s="138" t="s">
        <v>1963</v>
      </c>
      <c r="B357" s="139" t="s">
        <v>757</v>
      </c>
      <c r="C357" s="139" t="s">
        <v>2176</v>
      </c>
      <c r="D357" s="117">
        <v>0</v>
      </c>
      <c r="E357" s="117">
        <f t="shared" si="54"/>
        <v>0</v>
      </c>
      <c r="F357" s="117" t="e">
        <v>#VALUE!</v>
      </c>
      <c r="G357" s="117" t="e">
        <f t="shared" si="50"/>
        <v>#VALUE!</v>
      </c>
      <c r="H357" s="117" t="e">
        <f t="shared" si="51"/>
        <v>#VALUE!</v>
      </c>
      <c r="I357" s="140"/>
      <c r="J357" s="127"/>
      <c r="O357" s="134"/>
      <c r="P357" s="129"/>
      <c r="Q357" s="130"/>
    </row>
    <row r="358" spans="1:17" x14ac:dyDescent="0.3">
      <c r="A358" s="138" t="s">
        <v>1963</v>
      </c>
      <c r="B358" s="139" t="s">
        <v>757</v>
      </c>
      <c r="C358" s="139" t="s">
        <v>1066</v>
      </c>
      <c r="D358" s="117">
        <v>154</v>
      </c>
      <c r="E358" s="117">
        <f t="shared" si="54"/>
        <v>154</v>
      </c>
      <c r="F358" s="117" t="e">
        <v>#VALUE!</v>
      </c>
      <c r="G358" s="117" t="e">
        <f t="shared" si="50"/>
        <v>#VALUE!</v>
      </c>
      <c r="H358" s="117" t="e">
        <f t="shared" si="51"/>
        <v>#VALUE!</v>
      </c>
      <c r="I358" s="140"/>
      <c r="J358" s="127"/>
      <c r="O358" s="134">
        <v>208.9</v>
      </c>
      <c r="P358" s="129" t="e">
        <f>F358-O358</f>
        <v>#VALUE!</v>
      </c>
      <c r="Q358" s="130" t="e">
        <f>P358/O358</f>
        <v>#VALUE!</v>
      </c>
    </row>
    <row r="359" spans="1:17" x14ac:dyDescent="0.3">
      <c r="A359" s="139"/>
      <c r="B359" s="139"/>
      <c r="C359" s="138" t="s">
        <v>2168</v>
      </c>
      <c r="D359" s="122">
        <f>SUM(D343:D358)</f>
        <v>52670</v>
      </c>
      <c r="E359" s="122">
        <f>SUM(E343:E358)</f>
        <v>53482</v>
      </c>
      <c r="F359" s="122" t="e">
        <f>SUM(F343:F358)</f>
        <v>#VALUE!</v>
      </c>
      <c r="G359" s="122" t="e">
        <f>SUM(G343:G358)</f>
        <v>#VALUE!</v>
      </c>
      <c r="H359" s="122" t="e">
        <f>SUM(H343:H358)</f>
        <v>#VALUE!</v>
      </c>
      <c r="I359" s="138"/>
      <c r="J359" s="127"/>
      <c r="O359" s="131">
        <v>37237.120000000003</v>
      </c>
      <c r="P359" s="129" t="e">
        <f>F359-O359</f>
        <v>#VALUE!</v>
      </c>
      <c r="Q359" s="130" t="e">
        <f>P359/O359</f>
        <v>#VALUE!</v>
      </c>
    </row>
    <row r="360" spans="1:17" x14ac:dyDescent="0.3">
      <c r="A360" s="139"/>
      <c r="B360" s="139"/>
      <c r="C360" s="139"/>
      <c r="D360" s="117"/>
      <c r="E360" s="117"/>
      <c r="F360" s="117"/>
      <c r="G360" s="117"/>
      <c r="H360" s="117"/>
      <c r="I360" s="140"/>
      <c r="J360" s="127"/>
      <c r="O360" s="134"/>
      <c r="P360" s="119"/>
      <c r="Q360" s="119"/>
    </row>
    <row r="361" spans="1:17" x14ac:dyDescent="0.3">
      <c r="A361" s="138" t="s">
        <v>1963</v>
      </c>
      <c r="B361" s="139" t="s">
        <v>781</v>
      </c>
      <c r="C361" s="139" t="s">
        <v>781</v>
      </c>
      <c r="D361" s="117">
        <v>4960</v>
      </c>
      <c r="E361" s="117">
        <v>18446</v>
      </c>
      <c r="F361" s="117" t="e">
        <v>#VALUE!</v>
      </c>
      <c r="G361" s="117" t="e">
        <f>F361-D361</f>
        <v>#VALUE!</v>
      </c>
      <c r="H361" s="117" t="e">
        <f>F361-E361</f>
        <v>#VALUE!</v>
      </c>
      <c r="I361" s="140"/>
      <c r="J361" s="127"/>
      <c r="O361" s="134">
        <v>23512.82</v>
      </c>
      <c r="P361" s="129" t="e">
        <f>F361-O361</f>
        <v>#VALUE!</v>
      </c>
      <c r="Q361" s="130" t="e">
        <f>P361/O361</f>
        <v>#VALUE!</v>
      </c>
    </row>
    <row r="362" spans="1:17" x14ac:dyDescent="0.3">
      <c r="A362" s="139"/>
      <c r="B362" s="139"/>
      <c r="C362" s="138" t="s">
        <v>2169</v>
      </c>
      <c r="D362" s="122">
        <f>SUM(D361)</f>
        <v>4960</v>
      </c>
      <c r="E362" s="122">
        <f>SUM(E361)</f>
        <v>18446</v>
      </c>
      <c r="F362" s="122" t="e">
        <f>SUM(F361)</f>
        <v>#VALUE!</v>
      </c>
      <c r="G362" s="122" t="e">
        <f>SUM(G361)</f>
        <v>#VALUE!</v>
      </c>
      <c r="H362" s="122" t="e">
        <f>SUM(H361)</f>
        <v>#VALUE!</v>
      </c>
      <c r="I362" s="138"/>
      <c r="J362" s="127"/>
      <c r="O362" s="131">
        <v>23512.82</v>
      </c>
      <c r="P362" s="129" t="e">
        <f>F362-O362</f>
        <v>#VALUE!</v>
      </c>
      <c r="Q362" s="130" t="e">
        <f>P362/O362</f>
        <v>#VALUE!</v>
      </c>
    </row>
    <row r="363" spans="1:17" x14ac:dyDescent="0.3">
      <c r="A363" s="139"/>
      <c r="B363" s="139"/>
      <c r="C363" s="139"/>
      <c r="D363" s="117"/>
      <c r="E363" s="117"/>
      <c r="F363" s="117"/>
      <c r="G363" s="117"/>
      <c r="H363" s="117"/>
      <c r="I363" s="140"/>
      <c r="J363" s="127"/>
      <c r="O363" s="134"/>
      <c r="P363" s="119"/>
      <c r="Q363" s="119"/>
    </row>
    <row r="364" spans="1:17" x14ac:dyDescent="0.3">
      <c r="A364" s="138" t="s">
        <v>1963</v>
      </c>
      <c r="B364" s="139" t="s">
        <v>2180</v>
      </c>
      <c r="C364" s="139" t="s">
        <v>320</v>
      </c>
      <c r="D364" s="117">
        <v>1000</v>
      </c>
      <c r="E364" s="117">
        <f>D364</f>
        <v>1000</v>
      </c>
      <c r="F364" s="117" t="e">
        <v>#VALUE!</v>
      </c>
      <c r="G364" s="117" t="e">
        <f>F364-D364</f>
        <v>#VALUE!</v>
      </c>
      <c r="H364" s="117" t="e">
        <f>F364-E364</f>
        <v>#VALUE!</v>
      </c>
      <c r="I364" s="140"/>
      <c r="J364" s="127"/>
      <c r="O364" s="134">
        <v>0</v>
      </c>
      <c r="P364" s="129" t="e">
        <f>F364-O364</f>
        <v>#VALUE!</v>
      </c>
      <c r="Q364" s="130" t="e">
        <f>P364/O364</f>
        <v>#VALUE!</v>
      </c>
    </row>
    <row r="365" spans="1:17" x14ac:dyDescent="0.3">
      <c r="A365" s="139"/>
      <c r="B365" s="139"/>
      <c r="C365" s="138" t="s">
        <v>2184</v>
      </c>
      <c r="D365" s="122">
        <f>SUM(D364:D364)</f>
        <v>1000</v>
      </c>
      <c r="E365" s="122">
        <f>SUM(E364:E364)</f>
        <v>1000</v>
      </c>
      <c r="F365" s="122" t="e">
        <f>SUM(F364:F364)</f>
        <v>#VALUE!</v>
      </c>
      <c r="G365" s="122" t="e">
        <f>SUM(G364:G364)</f>
        <v>#VALUE!</v>
      </c>
      <c r="H365" s="122" t="e">
        <f>SUM(H364:H364)</f>
        <v>#VALUE!</v>
      </c>
      <c r="I365" s="138"/>
      <c r="J365" s="127"/>
      <c r="O365" s="131">
        <v>0</v>
      </c>
      <c r="P365" s="129" t="e">
        <f>F365-O365</f>
        <v>#VALUE!</v>
      </c>
      <c r="Q365" s="130" t="e">
        <f>P365/O365</f>
        <v>#VALUE!</v>
      </c>
    </row>
    <row r="366" spans="1:17" x14ac:dyDescent="0.3">
      <c r="A366" s="139"/>
      <c r="B366" s="139"/>
      <c r="C366" s="139"/>
      <c r="D366" s="117"/>
      <c r="E366" s="117"/>
      <c r="F366" s="117"/>
      <c r="G366" s="117"/>
      <c r="H366" s="117"/>
      <c r="I366" s="140"/>
      <c r="J366" s="127"/>
      <c r="O366" s="134"/>
      <c r="P366" s="119"/>
      <c r="Q366" s="119"/>
    </row>
    <row r="367" spans="1:17" x14ac:dyDescent="0.3">
      <c r="A367" s="138" t="s">
        <v>1963</v>
      </c>
      <c r="B367" s="139" t="s">
        <v>782</v>
      </c>
      <c r="C367" s="139" t="s">
        <v>783</v>
      </c>
      <c r="D367" s="117">
        <v>-194904</v>
      </c>
      <c r="E367" s="117">
        <v>-191057</v>
      </c>
      <c r="F367" s="117" t="e">
        <v>#VALUE!</v>
      </c>
      <c r="G367" s="117" t="e">
        <f>F367-D367</f>
        <v>#VALUE!</v>
      </c>
      <c r="H367" s="117" t="e">
        <f>F367-E367</f>
        <v>#VALUE!</v>
      </c>
      <c r="I367" s="140"/>
      <c r="J367" s="127"/>
      <c r="O367" s="128">
        <v>-199760.86</v>
      </c>
      <c r="P367" s="129" t="e">
        <f>F367-O367</f>
        <v>#VALUE!</v>
      </c>
      <c r="Q367" s="130" t="e">
        <f>P367/O367</f>
        <v>#VALUE!</v>
      </c>
    </row>
    <row r="368" spans="1:17" x14ac:dyDescent="0.3">
      <c r="A368" s="138" t="s">
        <v>1963</v>
      </c>
      <c r="B368" s="139" t="s">
        <v>782</v>
      </c>
      <c r="C368" s="139" t="s">
        <v>784</v>
      </c>
      <c r="D368" s="117">
        <v>-72857</v>
      </c>
      <c r="E368" s="117">
        <v>-87155</v>
      </c>
      <c r="F368" s="117" t="e">
        <v>#VALUE!</v>
      </c>
      <c r="G368" s="117" t="e">
        <f>F368-D368</f>
        <v>#VALUE!</v>
      </c>
      <c r="H368" s="117" t="e">
        <f>F368-E368</f>
        <v>#VALUE!</v>
      </c>
      <c r="I368" s="140"/>
      <c r="J368" s="127"/>
      <c r="O368" s="134">
        <v>-83852.600000000006</v>
      </c>
      <c r="P368" s="129" t="e">
        <f>F368-O368</f>
        <v>#VALUE!</v>
      </c>
      <c r="Q368" s="130" t="e">
        <f>P368/O368</f>
        <v>#VALUE!</v>
      </c>
    </row>
    <row r="369" spans="1:17" x14ac:dyDescent="0.3">
      <c r="A369" s="139"/>
      <c r="B369" s="139"/>
      <c r="C369" s="138" t="s">
        <v>2170</v>
      </c>
      <c r="D369" s="122">
        <f>SUM(D367:D368)</f>
        <v>-267761</v>
      </c>
      <c r="E369" s="122">
        <f>SUM(E367:E368)</f>
        <v>-278212</v>
      </c>
      <c r="F369" s="122" t="e">
        <f>SUM(F367:F368)</f>
        <v>#VALUE!</v>
      </c>
      <c r="G369" s="122" t="e">
        <f>SUM(G367:G368)</f>
        <v>#VALUE!</v>
      </c>
      <c r="H369" s="122" t="e">
        <f>SUM(H367:H368)</f>
        <v>#VALUE!</v>
      </c>
      <c r="I369" s="138"/>
      <c r="J369" s="127"/>
      <c r="O369" s="131">
        <v>-283613.46000000002</v>
      </c>
      <c r="P369" s="129" t="e">
        <f>F369-O369</f>
        <v>#VALUE!</v>
      </c>
      <c r="Q369" s="130" t="e">
        <f>P369/O369</f>
        <v>#VALUE!</v>
      </c>
    </row>
    <row r="370" spans="1:17" x14ac:dyDescent="0.3">
      <c r="A370" s="139"/>
      <c r="B370" s="139"/>
      <c r="C370" s="139"/>
      <c r="D370" s="117"/>
      <c r="E370" s="117"/>
      <c r="F370" s="117"/>
      <c r="G370" s="117"/>
      <c r="H370" s="117"/>
      <c r="I370" s="140"/>
      <c r="J370" s="127"/>
      <c r="O370" s="134"/>
      <c r="P370" s="119"/>
      <c r="Q370" s="119"/>
    </row>
    <row r="371" spans="1:17" x14ac:dyDescent="0.3">
      <c r="A371" s="139"/>
      <c r="B371" s="139"/>
      <c r="C371" s="138" t="s">
        <v>2156</v>
      </c>
      <c r="D371" s="122">
        <f>+D369+D365+D362+D359+D341+D333+D330</f>
        <v>1</v>
      </c>
      <c r="E371" s="122">
        <f>+E369+E365+E362+E359+E341+E333+E330</f>
        <v>1</v>
      </c>
      <c r="F371" s="122" t="e">
        <f>+F369+F365+F362+F359+F341+F333+F330</f>
        <v>#VALUE!</v>
      </c>
      <c r="G371" s="122" t="e">
        <f>+G369+G365+G362+G359+G341+G333+G330</f>
        <v>#VALUE!</v>
      </c>
      <c r="H371" s="122" t="e">
        <f>+H369+H365+H362+H359+H341+H333+H330</f>
        <v>#VALUE!</v>
      </c>
      <c r="I371" s="138"/>
      <c r="J371" s="127" t="e">
        <v>#VALUE!</v>
      </c>
      <c r="O371" s="131">
        <v>-2179.9999999999418</v>
      </c>
      <c r="P371" s="129" t="e">
        <f>F371-O371</f>
        <v>#VALUE!</v>
      </c>
      <c r="Q371" s="130" t="e">
        <f>P371/O371</f>
        <v>#VALUE!</v>
      </c>
    </row>
    <row r="372" spans="1:17" ht="30" x14ac:dyDescent="0.6">
      <c r="C372" s="121"/>
      <c r="D372" s="122"/>
      <c r="E372" s="132" t="e">
        <f>IF(F372="","","CHECK")</f>
        <v>#VALUE!</v>
      </c>
      <c r="F372" s="132" t="e">
        <v>#VALUE!</v>
      </c>
      <c r="G372" s="122"/>
      <c r="H372" s="122"/>
      <c r="I372" s="123"/>
      <c r="J372" s="127"/>
      <c r="O372" s="131"/>
      <c r="P372" s="129"/>
      <c r="Q372" s="130"/>
    </row>
    <row r="373" spans="1:17" x14ac:dyDescent="0.3">
      <c r="A373" s="121" t="s">
        <v>2219</v>
      </c>
      <c r="B373" t="s">
        <v>757</v>
      </c>
      <c r="C373" t="s">
        <v>1750</v>
      </c>
      <c r="D373" s="117">
        <v>1272</v>
      </c>
      <c r="E373" s="117">
        <f>D373</f>
        <v>1272</v>
      </c>
      <c r="F373" s="117" t="e">
        <v>#VALUE!</v>
      </c>
      <c r="G373" s="117" t="e">
        <f>F373-D373</f>
        <v>#VALUE!</v>
      </c>
      <c r="H373" s="117" t="e">
        <f>F373-E373</f>
        <v>#VALUE!</v>
      </c>
      <c r="I373" s="45"/>
      <c r="J373" s="127"/>
      <c r="O373" s="128">
        <v>3299.84</v>
      </c>
      <c r="P373" s="129" t="e">
        <f>F373-O373</f>
        <v>#VALUE!</v>
      </c>
      <c r="Q373" s="130" t="e">
        <f>P373/O373</f>
        <v>#VALUE!</v>
      </c>
    </row>
    <row r="374" spans="1:17" x14ac:dyDescent="0.3">
      <c r="A374" s="121" t="s">
        <v>2219</v>
      </c>
      <c r="B374" t="s">
        <v>757</v>
      </c>
      <c r="C374" t="s">
        <v>1753</v>
      </c>
      <c r="D374" s="117">
        <v>453</v>
      </c>
      <c r="E374" s="117">
        <f>D374</f>
        <v>453</v>
      </c>
      <c r="F374" s="117" t="e">
        <v>#VALUE!</v>
      </c>
      <c r="G374" s="117" t="e">
        <f>F374-D374</f>
        <v>#VALUE!</v>
      </c>
      <c r="H374" s="117" t="e">
        <f>F374-E374</f>
        <v>#VALUE!</v>
      </c>
      <c r="I374" s="45"/>
      <c r="J374" s="127"/>
      <c r="O374" s="128">
        <v>0</v>
      </c>
      <c r="P374" s="129" t="e">
        <f>F374-O374</f>
        <v>#VALUE!</v>
      </c>
      <c r="Q374" s="130" t="e">
        <f>P374/O374</f>
        <v>#VALUE!</v>
      </c>
    </row>
    <row r="375" spans="1:17" x14ac:dyDescent="0.3">
      <c r="A375" s="121" t="s">
        <v>2219</v>
      </c>
      <c r="B375" t="s">
        <v>757</v>
      </c>
      <c r="C375" s="120" t="s">
        <v>2220</v>
      </c>
      <c r="D375" s="117">
        <v>5000</v>
      </c>
      <c r="E375" s="117">
        <v>3530</v>
      </c>
      <c r="F375" s="117"/>
      <c r="G375" s="117"/>
      <c r="H375" s="117"/>
      <c r="I375" s="45"/>
      <c r="J375" s="127"/>
      <c r="O375" s="128"/>
      <c r="P375" s="129"/>
      <c r="Q375" s="130"/>
    </row>
    <row r="376" spans="1:17" x14ac:dyDescent="0.3">
      <c r="C376" s="121" t="s">
        <v>2221</v>
      </c>
      <c r="D376" s="122">
        <f>SUM(D373:D375)</f>
        <v>6725</v>
      </c>
      <c r="E376" s="122">
        <f>SUM(E373:E375)</f>
        <v>5255</v>
      </c>
      <c r="F376" s="122" t="e">
        <f>SUM(F373:F375)</f>
        <v>#VALUE!</v>
      </c>
      <c r="G376" s="122" t="e">
        <f>SUM(G373:G375)</f>
        <v>#VALUE!</v>
      </c>
      <c r="H376" s="122" t="e">
        <f>SUM(H373:H375)</f>
        <v>#VALUE!</v>
      </c>
      <c r="I376" s="123"/>
      <c r="J376" s="127"/>
      <c r="O376" s="131">
        <v>3299.84</v>
      </c>
      <c r="P376" s="129" t="e">
        <f>F376-O376</f>
        <v>#VALUE!</v>
      </c>
      <c r="Q376" s="130" t="e">
        <f>P376/O376</f>
        <v>#VALUE!</v>
      </c>
    </row>
    <row r="377" spans="1:17" x14ac:dyDescent="0.3">
      <c r="D377" s="117"/>
      <c r="E377" s="117"/>
      <c r="F377" s="117"/>
      <c r="G377" s="117"/>
      <c r="H377" s="117"/>
      <c r="I377" s="45"/>
      <c r="J377" s="127"/>
      <c r="O377" s="128"/>
      <c r="P377" s="119"/>
      <c r="Q377" s="119"/>
    </row>
    <row r="378" spans="1:17" x14ac:dyDescent="0.3">
      <c r="A378" s="121" t="s">
        <v>2219</v>
      </c>
      <c r="B378" t="s">
        <v>782</v>
      </c>
      <c r="C378" t="s">
        <v>783</v>
      </c>
      <c r="D378" s="117">
        <v>1598</v>
      </c>
      <c r="E378" s="117">
        <v>1567</v>
      </c>
      <c r="F378" s="117" t="e">
        <v>#VALUE!</v>
      </c>
      <c r="G378" s="117" t="e">
        <f>F378-D378</f>
        <v>#VALUE!</v>
      </c>
      <c r="H378" s="117" t="e">
        <f>F378-E378</f>
        <v>#VALUE!</v>
      </c>
      <c r="I378" s="45"/>
      <c r="J378" s="127"/>
      <c r="O378" s="128">
        <v>1609.56</v>
      </c>
      <c r="P378" s="129" t="e">
        <f>F378-O378</f>
        <v>#VALUE!</v>
      </c>
      <c r="Q378" s="130" t="e">
        <f>P378/O378</f>
        <v>#VALUE!</v>
      </c>
    </row>
    <row r="379" spans="1:17" x14ac:dyDescent="0.3">
      <c r="A379" s="121" t="s">
        <v>2219</v>
      </c>
      <c r="B379" t="s">
        <v>782</v>
      </c>
      <c r="C379" t="s">
        <v>784</v>
      </c>
      <c r="D379" s="117">
        <v>597</v>
      </c>
      <c r="E379" s="117">
        <v>715</v>
      </c>
      <c r="F379" s="117" t="e">
        <v>#VALUE!</v>
      </c>
      <c r="G379" s="117" t="e">
        <f>F379-D379</f>
        <v>#VALUE!</v>
      </c>
      <c r="H379" s="117" t="e">
        <f>F379-E379</f>
        <v>#VALUE!</v>
      </c>
      <c r="I379" s="45"/>
      <c r="J379" s="127"/>
      <c r="O379" s="128">
        <v>316.32</v>
      </c>
      <c r="P379" s="129" t="e">
        <f>F379-O379</f>
        <v>#VALUE!</v>
      </c>
      <c r="Q379" s="130" t="e">
        <f>P379/O379</f>
        <v>#VALUE!</v>
      </c>
    </row>
    <row r="380" spans="1:17" x14ac:dyDescent="0.3">
      <c r="C380" s="121" t="s">
        <v>2170</v>
      </c>
      <c r="D380" s="122">
        <f>SUM(D378:D379)</f>
        <v>2195</v>
      </c>
      <c r="E380" s="122">
        <f>SUM(E378:E379)</f>
        <v>2282</v>
      </c>
      <c r="F380" s="122" t="e">
        <f>SUM(F378:F379)</f>
        <v>#VALUE!</v>
      </c>
      <c r="G380" s="122" t="e">
        <f>SUM(G378:G379)</f>
        <v>#VALUE!</v>
      </c>
      <c r="H380" s="122" t="e">
        <f>SUM(H378:H379)</f>
        <v>#VALUE!</v>
      </c>
      <c r="I380" s="123"/>
      <c r="J380" s="127"/>
      <c r="O380" s="131">
        <v>1925.88</v>
      </c>
      <c r="P380" s="129" t="e">
        <f>F380-O380</f>
        <v>#VALUE!</v>
      </c>
      <c r="Q380" s="130" t="e">
        <f>P380/O380</f>
        <v>#VALUE!</v>
      </c>
    </row>
    <row r="381" spans="1:17" x14ac:dyDescent="0.3">
      <c r="D381" s="117"/>
      <c r="E381" s="117"/>
      <c r="F381" s="117"/>
      <c r="G381" s="117"/>
      <c r="H381" s="117"/>
      <c r="I381" s="45"/>
      <c r="J381" s="127"/>
      <c r="O381" s="128"/>
      <c r="P381" s="119"/>
      <c r="Q381" s="119"/>
    </row>
    <row r="382" spans="1:17" x14ac:dyDescent="0.3">
      <c r="C382" s="121" t="s">
        <v>2156</v>
      </c>
      <c r="D382" s="122">
        <f>D380+D376</f>
        <v>8920</v>
      </c>
      <c r="E382" s="122">
        <f>E380+E376</f>
        <v>7537</v>
      </c>
      <c r="F382" s="122" t="e">
        <f>F380+F376</f>
        <v>#VALUE!</v>
      </c>
      <c r="G382" s="122" t="e">
        <f>G380+G376</f>
        <v>#VALUE!</v>
      </c>
      <c r="H382" s="122" t="e">
        <f>H380+H376</f>
        <v>#VALUE!</v>
      </c>
      <c r="I382" s="123"/>
      <c r="J382" s="127" t="e">
        <v>#VALUE!</v>
      </c>
      <c r="O382" s="131">
        <v>5225.72</v>
      </c>
      <c r="P382" s="129" t="e">
        <f>F382-O382</f>
        <v>#VALUE!</v>
      </c>
      <c r="Q382" s="130" t="e">
        <f>P382/O382</f>
        <v>#VALUE!</v>
      </c>
    </row>
    <row r="383" spans="1:17" ht="30" x14ac:dyDescent="0.6">
      <c r="A383" s="121"/>
      <c r="B383" s="121"/>
      <c r="D383" s="117"/>
      <c r="E383" s="132" t="e">
        <f>IF(F383="","","CHECK")</f>
        <v>#VALUE!</v>
      </c>
      <c r="F383" s="132" t="e">
        <v>#VALUE!</v>
      </c>
      <c r="G383" s="117"/>
      <c r="H383" s="117"/>
      <c r="I383" s="45"/>
      <c r="J383" s="127"/>
      <c r="O383" s="128"/>
      <c r="P383" s="119"/>
      <c r="Q383" s="119"/>
    </row>
    <row r="384" spans="1:17" x14ac:dyDescent="0.3">
      <c r="A384" s="121" t="s">
        <v>2222</v>
      </c>
      <c r="B384" t="s">
        <v>757</v>
      </c>
      <c r="C384" t="s">
        <v>1762</v>
      </c>
      <c r="D384" s="117">
        <v>3167</v>
      </c>
      <c r="E384" s="117">
        <v>3257</v>
      </c>
      <c r="F384" s="117" t="e">
        <v>#VALUE!</v>
      </c>
      <c r="G384" s="117" t="e">
        <f>F384-D384</f>
        <v>#VALUE!</v>
      </c>
      <c r="H384" s="117" t="e">
        <f>F384-E384</f>
        <v>#VALUE!</v>
      </c>
      <c r="I384" s="45"/>
      <c r="J384" s="127"/>
      <c r="O384" s="128">
        <v>652.04</v>
      </c>
      <c r="P384" s="129" t="e">
        <f>F384-O384</f>
        <v>#VALUE!</v>
      </c>
      <c r="Q384" s="130" t="e">
        <f>P384/O384</f>
        <v>#VALUE!</v>
      </c>
    </row>
    <row r="385" spans="1:17" x14ac:dyDescent="0.3">
      <c r="A385" s="121" t="s">
        <v>2222</v>
      </c>
      <c r="B385" t="s">
        <v>757</v>
      </c>
      <c r="C385" t="s">
        <v>1771</v>
      </c>
      <c r="D385" s="117">
        <v>46</v>
      </c>
      <c r="E385" s="117">
        <v>98</v>
      </c>
      <c r="F385" s="117" t="e">
        <v>#VALUE!</v>
      </c>
      <c r="G385" s="117" t="e">
        <f>F385-D385</f>
        <v>#VALUE!</v>
      </c>
      <c r="H385" s="117" t="e">
        <f>F385-E385</f>
        <v>#VALUE!</v>
      </c>
      <c r="I385" s="45"/>
      <c r="J385" s="127"/>
      <c r="O385" s="128">
        <v>0</v>
      </c>
      <c r="P385" s="129" t="e">
        <f>F385-O385</f>
        <v>#VALUE!</v>
      </c>
      <c r="Q385" s="130" t="e">
        <f>P385/O385</f>
        <v>#VALUE!</v>
      </c>
    </row>
    <row r="386" spans="1:17" x14ac:dyDescent="0.3">
      <c r="A386" s="121" t="s">
        <v>2222</v>
      </c>
      <c r="B386" t="s">
        <v>757</v>
      </c>
      <c r="C386" t="s">
        <v>1767</v>
      </c>
      <c r="D386" s="117">
        <v>3700</v>
      </c>
      <c r="E386" s="117">
        <f>D386</f>
        <v>3700</v>
      </c>
      <c r="F386" s="117" t="e">
        <v>#VALUE!</v>
      </c>
      <c r="G386" s="117" t="e">
        <f>F386-D386</f>
        <v>#VALUE!</v>
      </c>
      <c r="H386" s="117" t="e">
        <f>F386-E386</f>
        <v>#VALUE!</v>
      </c>
      <c r="I386" s="45"/>
      <c r="J386" s="127"/>
      <c r="O386" s="128">
        <v>1065</v>
      </c>
      <c r="P386" s="129" t="e">
        <f>F386-O386</f>
        <v>#VALUE!</v>
      </c>
      <c r="Q386" s="130" t="e">
        <f>P386/O386</f>
        <v>#VALUE!</v>
      </c>
    </row>
    <row r="387" spans="1:17" x14ac:dyDescent="0.3">
      <c r="A387" s="121" t="s">
        <v>2222</v>
      </c>
      <c r="B387" t="s">
        <v>757</v>
      </c>
      <c r="C387" t="s">
        <v>1773</v>
      </c>
      <c r="D387" s="117">
        <v>3000</v>
      </c>
      <c r="E387" s="117">
        <f>D387</f>
        <v>3000</v>
      </c>
      <c r="F387" s="117" t="e">
        <v>#VALUE!</v>
      </c>
      <c r="G387" s="117" t="e">
        <f>F387-D387</f>
        <v>#VALUE!</v>
      </c>
      <c r="H387" s="117" t="e">
        <f>F387-E387</f>
        <v>#VALUE!</v>
      </c>
      <c r="I387" s="45"/>
      <c r="J387" s="127"/>
      <c r="O387" s="128">
        <v>3000</v>
      </c>
      <c r="P387" s="129" t="e">
        <f>F387-O387</f>
        <v>#VALUE!</v>
      </c>
      <c r="Q387" s="130" t="e">
        <f>P387/O387</f>
        <v>#VALUE!</v>
      </c>
    </row>
    <row r="388" spans="1:17" x14ac:dyDescent="0.3">
      <c r="C388" s="121" t="s">
        <v>2221</v>
      </c>
      <c r="D388" s="122">
        <f>SUM(D384:D387)</f>
        <v>9913</v>
      </c>
      <c r="E388" s="122">
        <f>SUM(E384:E387)</f>
        <v>10055</v>
      </c>
      <c r="F388" s="122" t="e">
        <f>SUM(F384:F387)</f>
        <v>#VALUE!</v>
      </c>
      <c r="G388" s="122" t="e">
        <f>SUM(G384:G387)</f>
        <v>#VALUE!</v>
      </c>
      <c r="H388" s="122" t="e">
        <f>SUM(H384:H387)</f>
        <v>#VALUE!</v>
      </c>
      <c r="I388" s="123"/>
      <c r="J388" s="127"/>
      <c r="O388" s="131">
        <v>4717.04</v>
      </c>
      <c r="P388" s="129" t="e">
        <f>F388-O388</f>
        <v>#VALUE!</v>
      </c>
      <c r="Q388" s="130" t="e">
        <f>P388/O388</f>
        <v>#VALUE!</v>
      </c>
    </row>
    <row r="389" spans="1:17" x14ac:dyDescent="0.3">
      <c r="D389" s="117"/>
      <c r="E389" s="117"/>
      <c r="F389" s="117"/>
      <c r="G389" s="117"/>
      <c r="H389" s="117"/>
      <c r="I389" s="45"/>
      <c r="J389" s="127"/>
      <c r="O389" s="128"/>
      <c r="P389" s="119"/>
      <c r="Q389" s="119"/>
    </row>
    <row r="390" spans="1:17" x14ac:dyDescent="0.3">
      <c r="A390" s="121" t="s">
        <v>2222</v>
      </c>
      <c r="B390" t="s">
        <v>782</v>
      </c>
      <c r="C390" t="s">
        <v>783</v>
      </c>
      <c r="D390" s="117">
        <v>7718</v>
      </c>
      <c r="E390" s="117">
        <v>7566</v>
      </c>
      <c r="F390" s="117" t="e">
        <v>#VALUE!</v>
      </c>
      <c r="G390" s="117" t="e">
        <f>F390-D390</f>
        <v>#VALUE!</v>
      </c>
      <c r="H390" s="117" t="e">
        <f>F390-E390</f>
        <v>#VALUE!</v>
      </c>
      <c r="I390" s="45"/>
      <c r="J390" s="127"/>
      <c r="O390" s="128">
        <v>8301.42</v>
      </c>
      <c r="P390" s="129" t="e">
        <f>F390-O390</f>
        <v>#VALUE!</v>
      </c>
      <c r="Q390" s="130" t="e">
        <f>P390/O390</f>
        <v>#VALUE!</v>
      </c>
    </row>
    <row r="391" spans="1:17" x14ac:dyDescent="0.3">
      <c r="A391" s="121" t="s">
        <v>2222</v>
      </c>
      <c r="B391" t="s">
        <v>782</v>
      </c>
      <c r="C391" t="s">
        <v>784</v>
      </c>
      <c r="D391" s="117">
        <v>2885</v>
      </c>
      <c r="E391" s="117">
        <v>3451</v>
      </c>
      <c r="F391" s="117" t="e">
        <v>#VALUE!</v>
      </c>
      <c r="G391" s="117" t="e">
        <f>F391-D391</f>
        <v>#VALUE!</v>
      </c>
      <c r="H391" s="117" t="e">
        <f>F391-E391</f>
        <v>#VALUE!</v>
      </c>
      <c r="I391" s="45"/>
      <c r="J391" s="127"/>
      <c r="O391" s="128">
        <v>3375.17</v>
      </c>
      <c r="P391" s="129" t="e">
        <f>F391-O391</f>
        <v>#VALUE!</v>
      </c>
      <c r="Q391" s="130" t="e">
        <f>P391/O391</f>
        <v>#VALUE!</v>
      </c>
    </row>
    <row r="392" spans="1:17" x14ac:dyDescent="0.3">
      <c r="C392" s="121" t="s">
        <v>2170</v>
      </c>
      <c r="D392" s="122">
        <f>SUM(D390:D391)</f>
        <v>10603</v>
      </c>
      <c r="E392" s="122">
        <f>SUM(E390:E391)</f>
        <v>11017</v>
      </c>
      <c r="F392" s="122" t="e">
        <f>SUM(F390:F391)</f>
        <v>#VALUE!</v>
      </c>
      <c r="G392" s="122" t="e">
        <f>SUM(G390:G391)</f>
        <v>#VALUE!</v>
      </c>
      <c r="H392" s="122" t="e">
        <f>SUM(H390:H391)</f>
        <v>#VALUE!</v>
      </c>
      <c r="I392" s="123"/>
      <c r="J392" s="127"/>
      <c r="O392" s="131">
        <v>11676.59</v>
      </c>
      <c r="P392" s="129" t="e">
        <f>F392-O392</f>
        <v>#VALUE!</v>
      </c>
      <c r="Q392" s="130" t="e">
        <f>P392/O392</f>
        <v>#VALUE!</v>
      </c>
    </row>
    <row r="393" spans="1:17" x14ac:dyDescent="0.3">
      <c r="D393" s="117"/>
      <c r="E393" s="117"/>
      <c r="F393" s="117"/>
      <c r="G393" s="117"/>
      <c r="H393" s="117"/>
      <c r="I393" s="45"/>
      <c r="J393" s="127"/>
      <c r="O393" s="128"/>
      <c r="P393" s="119"/>
      <c r="Q393" s="119"/>
    </row>
    <row r="394" spans="1:17" x14ac:dyDescent="0.3">
      <c r="A394" s="121" t="s">
        <v>2222</v>
      </c>
      <c r="B394" s="120" t="s">
        <v>788</v>
      </c>
      <c r="C394" s="120" t="s">
        <v>1760</v>
      </c>
      <c r="D394" s="117"/>
      <c r="E394" s="117"/>
      <c r="F394" s="117" t="e">
        <v>#VALUE!</v>
      </c>
      <c r="G394" s="117" t="e">
        <f>F394-D394</f>
        <v>#VALUE!</v>
      </c>
      <c r="H394" s="117" t="e">
        <f>F394-E394</f>
        <v>#VALUE!</v>
      </c>
      <c r="I394" s="45"/>
      <c r="J394" s="127"/>
      <c r="O394" s="128"/>
      <c r="P394" s="119"/>
      <c r="Q394" s="119"/>
    </row>
    <row r="395" spans="1:17" x14ac:dyDescent="0.3">
      <c r="C395" s="121" t="s">
        <v>2187</v>
      </c>
      <c r="D395" s="122">
        <f>SUM(D394:D394)</f>
        <v>0</v>
      </c>
      <c r="E395" s="122">
        <f>SUM(E394:E394)</f>
        <v>0</v>
      </c>
      <c r="F395" s="122" t="e">
        <f>SUM(F394:F394)</f>
        <v>#VALUE!</v>
      </c>
      <c r="G395" s="122" t="e">
        <f>SUM(G394:G394)</f>
        <v>#VALUE!</v>
      </c>
      <c r="H395" s="122" t="e">
        <f>SUM(H394:H394)</f>
        <v>#VALUE!</v>
      </c>
      <c r="I395" s="123"/>
      <c r="J395" s="127"/>
      <c r="O395" s="128"/>
      <c r="P395" s="119"/>
      <c r="Q395" s="119"/>
    </row>
    <row r="396" spans="1:17" x14ac:dyDescent="0.3">
      <c r="D396" s="117"/>
      <c r="E396" s="117"/>
      <c r="F396" s="117"/>
      <c r="G396" s="117"/>
      <c r="H396" s="117"/>
      <c r="I396" s="45"/>
      <c r="J396" s="127"/>
      <c r="O396" s="128"/>
      <c r="P396" s="119"/>
      <c r="Q396" s="119"/>
    </row>
    <row r="397" spans="1:17" x14ac:dyDescent="0.3">
      <c r="C397" s="121" t="s">
        <v>2156</v>
      </c>
      <c r="D397" s="122">
        <f>D392+D388+D395</f>
        <v>20516</v>
      </c>
      <c r="E397" s="122">
        <f>E392+E388+E395</f>
        <v>21072</v>
      </c>
      <c r="F397" s="122" t="e">
        <f>F392+F388+F395</f>
        <v>#VALUE!</v>
      </c>
      <c r="G397" s="122" t="e">
        <f>G392+G388+G395</f>
        <v>#VALUE!</v>
      </c>
      <c r="H397" s="122" t="e">
        <f>H392+H388+H395</f>
        <v>#VALUE!</v>
      </c>
      <c r="I397" s="123"/>
      <c r="J397" s="127" t="e">
        <v>#VALUE!</v>
      </c>
      <c r="O397" s="131">
        <v>16393.63</v>
      </c>
      <c r="P397" s="129" t="e">
        <f>F397-O397</f>
        <v>#VALUE!</v>
      </c>
      <c r="Q397" s="130" t="e">
        <f>P397/O397</f>
        <v>#VALUE!</v>
      </c>
    </row>
    <row r="398" spans="1:17" ht="30" x14ac:dyDescent="0.6">
      <c r="C398" s="121"/>
      <c r="D398" s="122"/>
      <c r="E398" s="132" t="e">
        <f>IF(F398="","","CHECK")</f>
        <v>#VALUE!</v>
      </c>
      <c r="F398" s="132" t="e">
        <v>#VALUE!</v>
      </c>
      <c r="G398" s="122"/>
      <c r="H398" s="122"/>
      <c r="I398" s="123"/>
      <c r="J398" s="127"/>
      <c r="O398" s="131"/>
      <c r="P398" s="119"/>
      <c r="Q398" s="119"/>
    </row>
    <row r="399" spans="1:17" x14ac:dyDescent="0.3">
      <c r="A399" s="121"/>
      <c r="B399" s="121"/>
      <c r="C399" s="121"/>
      <c r="D399" s="122"/>
      <c r="E399" s="122"/>
      <c r="F399" s="122"/>
      <c r="G399" s="122"/>
      <c r="H399" s="122"/>
      <c r="I399" s="123"/>
      <c r="J399" s="127"/>
      <c r="O399" s="131"/>
      <c r="P399" s="119"/>
      <c r="Q399" s="119"/>
    </row>
    <row r="400" spans="1:17" x14ac:dyDescent="0.3">
      <c r="A400" s="121"/>
      <c r="B400" s="121"/>
      <c r="D400" s="117"/>
      <c r="E400" s="117"/>
      <c r="F400" s="117"/>
      <c r="G400" s="117"/>
      <c r="H400" s="117"/>
      <c r="I400" s="45"/>
      <c r="J400" s="127"/>
      <c r="O400" s="128"/>
      <c r="P400" s="119"/>
      <c r="Q400" s="119"/>
    </row>
    <row r="401" spans="3:17" x14ac:dyDescent="0.3">
      <c r="C401" s="120" t="s">
        <v>2156</v>
      </c>
      <c r="D401" s="117">
        <f>SUMIF($C$10:$C$399,$C401,$D$10:$D$399)</f>
        <v>1055001</v>
      </c>
      <c r="E401" s="117">
        <f>SUMIF($C$10:$C$399,$C401,$E$10:$E$399)</f>
        <v>1038349</v>
      </c>
      <c r="F401" s="117" t="e">
        <f>SUMIF($C$10:$C$399,$C401,$F$10:$F$399)</f>
        <v>#VALUE!</v>
      </c>
      <c r="G401" s="117" t="e">
        <f>F401-D401</f>
        <v>#VALUE!</v>
      </c>
      <c r="H401" s="117" t="e">
        <f>F401-E401</f>
        <v>#VALUE!</v>
      </c>
      <c r="I401" s="45"/>
      <c r="J401" s="127"/>
      <c r="O401" s="128">
        <v>704508.41</v>
      </c>
      <c r="P401" s="129" t="e">
        <f>F401-O401</f>
        <v>#VALUE!</v>
      </c>
      <c r="Q401" s="130" t="e">
        <f>P401/O401</f>
        <v>#VALUE!</v>
      </c>
    </row>
    <row r="402" spans="3:17" x14ac:dyDescent="0.3">
      <c r="C402" s="120" t="s">
        <v>50</v>
      </c>
      <c r="D402" s="117">
        <v>-1017488</v>
      </c>
      <c r="E402" s="117">
        <f>D402</f>
        <v>-1017488</v>
      </c>
      <c r="F402" s="117" t="e">
        <v>#VALUE!</v>
      </c>
      <c r="G402" s="117" t="e">
        <f>F402-D402</f>
        <v>#VALUE!</v>
      </c>
      <c r="H402" s="117" t="e">
        <f>F402-E402</f>
        <v>#VALUE!</v>
      </c>
      <c r="I402" s="45"/>
      <c r="J402" s="127"/>
      <c r="O402" s="128">
        <v>-843654</v>
      </c>
      <c r="P402" s="129" t="e">
        <f>F402-O402</f>
        <v>#VALUE!</v>
      </c>
      <c r="Q402" s="130" t="e">
        <f>P402/O402</f>
        <v>#VALUE!</v>
      </c>
    </row>
    <row r="403" spans="3:17" x14ac:dyDescent="0.3">
      <c r="C403" s="121"/>
      <c r="D403" s="122">
        <f>SUM(D401:D402)</f>
        <v>37513</v>
      </c>
      <c r="E403" s="122">
        <f>SUM(E401:E402)</f>
        <v>20861</v>
      </c>
      <c r="F403" s="122" t="e">
        <f>SUM(F401:F402)</f>
        <v>#VALUE!</v>
      </c>
      <c r="G403" s="122" t="e">
        <f>SUM(G401:G402)</f>
        <v>#VALUE!</v>
      </c>
      <c r="H403" s="122" t="e">
        <f>SUM(H401:H402)</f>
        <v>#VALUE!</v>
      </c>
      <c r="I403" s="123"/>
      <c r="J403" s="127"/>
      <c r="O403" s="131">
        <v>-139145.59</v>
      </c>
      <c r="P403" s="129" t="e">
        <f>F403-O403</f>
        <v>#VALUE!</v>
      </c>
      <c r="Q403" s="130" t="e">
        <f>P403/O403</f>
        <v>#VALUE!</v>
      </c>
    </row>
  </sheetData>
  <autoFilter ref="A1:R403" xr:uid="{00000000-0009-0000-0000-000020000000}"/>
  <phoneticPr fontId="56" type="noConversion"/>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E14"/>
  <sheetViews>
    <sheetView workbookViewId="0">
      <selection activeCell="D3" sqref="D3"/>
    </sheetView>
  </sheetViews>
  <sheetFormatPr defaultRowHeight="13" x14ac:dyDescent="0.3"/>
  <cols>
    <col min="1" max="1" width="16" bestFit="1" customWidth="1"/>
    <col min="2" max="3" width="13.5" style="18" bestFit="1" customWidth="1"/>
    <col min="4" max="4" width="10.5" bestFit="1" customWidth="1"/>
  </cols>
  <sheetData>
    <row r="1" spans="1:5" ht="13.5" x14ac:dyDescent="0.35">
      <c r="A1" s="152" t="s">
        <v>2223</v>
      </c>
    </row>
    <row r="2" spans="1:5" x14ac:dyDescent="0.3">
      <c r="D2" s="150">
        <v>2.5000000000000001E-2</v>
      </c>
    </row>
    <row r="3" spans="1:5" x14ac:dyDescent="0.3">
      <c r="B3" s="148" t="s">
        <v>2224</v>
      </c>
      <c r="C3" s="148" t="s">
        <v>2225</v>
      </c>
      <c r="D3" s="141" t="s">
        <v>2226</v>
      </c>
    </row>
    <row r="4" spans="1:5" x14ac:dyDescent="0.3">
      <c r="A4" s="141" t="s">
        <v>2227</v>
      </c>
      <c r="B4" s="18">
        <f>19949+489.42+1275.54+21.04+130.47</f>
        <v>21865.47</v>
      </c>
      <c r="C4" s="18">
        <v>26062.09</v>
      </c>
      <c r="D4" s="18">
        <f>C4*(1+$D$2)</f>
        <v>26713.642249999997</v>
      </c>
    </row>
    <row r="5" spans="1:5" x14ac:dyDescent="0.3">
      <c r="A5" s="141" t="s">
        <v>2228</v>
      </c>
      <c r="B5" s="18">
        <v>4519.2</v>
      </c>
      <c r="C5" s="18">
        <v>4688.8</v>
      </c>
      <c r="D5" s="18">
        <f>C5*(1+$D$2)</f>
        <v>4806.0199999999995</v>
      </c>
    </row>
    <row r="6" spans="1:5" ht="13.5" thickBot="1" x14ac:dyDescent="0.35">
      <c r="B6" s="149">
        <f>SUM(B4:B5)</f>
        <v>26384.670000000002</v>
      </c>
      <c r="C6" s="149">
        <f>SUM(C4:C5)</f>
        <v>30750.89</v>
      </c>
      <c r="D6" s="149">
        <f>SUM(D4:D5)</f>
        <v>31519.662249999998</v>
      </c>
    </row>
    <row r="7" spans="1:5" ht="13.5" thickTop="1" x14ac:dyDescent="0.3"/>
    <row r="8" spans="1:5" x14ac:dyDescent="0.3">
      <c r="A8" s="141" t="s">
        <v>2229</v>
      </c>
      <c r="B8" s="148" t="s">
        <v>2230</v>
      </c>
      <c r="D8" s="151">
        <f>B6*8/12</f>
        <v>17589.780000000002</v>
      </c>
    </row>
    <row r="9" spans="1:5" x14ac:dyDescent="0.3">
      <c r="B9" s="148" t="s">
        <v>2231</v>
      </c>
      <c r="D9" s="151">
        <f>C6*4/12</f>
        <v>10250.296666666667</v>
      </c>
    </row>
    <row r="10" spans="1:5" x14ac:dyDescent="0.3">
      <c r="B10" s="148"/>
      <c r="D10" s="151">
        <f>SUM(D8:D9)</f>
        <v>27840.076666666668</v>
      </c>
      <c r="E10" t="s">
        <v>2232</v>
      </c>
    </row>
    <row r="12" spans="1:5" x14ac:dyDescent="0.3">
      <c r="A12" s="141" t="s">
        <v>2233</v>
      </c>
      <c r="B12" s="148" t="s">
        <v>2234</v>
      </c>
      <c r="D12" s="151">
        <f>C6/12*8</f>
        <v>20500.593333333334</v>
      </c>
    </row>
    <row r="13" spans="1:5" x14ac:dyDescent="0.3">
      <c r="B13" s="148" t="s">
        <v>2235</v>
      </c>
      <c r="D13" s="151">
        <f>D6/12*4</f>
        <v>10506.554083333333</v>
      </c>
    </row>
    <row r="14" spans="1:5" x14ac:dyDescent="0.3">
      <c r="D14" s="151">
        <f>SUM(D12:D13)</f>
        <v>31007.147416666667</v>
      </c>
      <c r="E14">
        <v>1011</v>
      </c>
    </row>
  </sheetData>
  <phoneticPr fontId="56" type="noConversion"/>
  <pageMargins left="0.7" right="0.7" top="0.75" bottom="0.75" header="0.3" footer="0.3"/>
  <pageSetup paperSize="9"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CC00FF"/>
    <pageSetUpPr fitToPage="1"/>
  </sheetPr>
  <dimension ref="A1:Q420"/>
  <sheetViews>
    <sheetView view="pageBreakPreview" zoomScale="70" zoomScaleNormal="100" zoomScaleSheetLayoutView="70" workbookViewId="0">
      <pane xSplit="3" ySplit="9" topLeftCell="D82" activePane="bottomRight" state="frozen"/>
      <selection pane="topRight" activeCell="D1" sqref="D1"/>
      <selection pane="bottomLeft" activeCell="A10" sqref="A10"/>
      <selection pane="bottomRight" activeCell="F69" sqref="F69"/>
    </sheetView>
  </sheetViews>
  <sheetFormatPr defaultColWidth="9.296875" defaultRowHeight="12.5" x14ac:dyDescent="0.25"/>
  <cols>
    <col min="1" max="2" width="35.796875" style="120" customWidth="1"/>
    <col min="3" max="3" width="52.69921875" style="120" customWidth="1"/>
    <col min="4" max="8" width="24.19921875" style="173" customWidth="1"/>
    <col min="9" max="9" width="70.796875" style="120" customWidth="1"/>
    <col min="10" max="10" width="10.796875" style="120" bestFit="1" customWidth="1"/>
    <col min="11" max="11" width="12" style="120" bestFit="1" customWidth="1"/>
    <col min="12" max="13" width="12" style="120" hidden="1" customWidth="1"/>
    <col min="14" max="14" width="0" style="120" hidden="1" customWidth="1"/>
    <col min="15" max="15" width="17.296875" style="120" bestFit="1" customWidth="1"/>
    <col min="16" max="16" width="9.296875" style="120"/>
    <col min="17" max="17" width="12.796875" style="120" bestFit="1" customWidth="1"/>
    <col min="18" max="16384" width="9.296875" style="120"/>
  </cols>
  <sheetData>
    <row r="1" spans="1:17" ht="13" x14ac:dyDescent="0.3">
      <c r="A1" s="121" t="s">
        <v>2236</v>
      </c>
    </row>
    <row r="3" spans="1:17" x14ac:dyDescent="0.25">
      <c r="D3" s="117"/>
      <c r="E3" s="117"/>
      <c r="F3" s="117"/>
      <c r="G3" s="117"/>
      <c r="H3" s="117"/>
      <c r="I3" s="45"/>
      <c r="O3" s="118"/>
      <c r="P3" s="119"/>
      <c r="Q3" s="119"/>
    </row>
    <row r="4" spans="1:17" x14ac:dyDescent="0.25">
      <c r="C4" s="120" t="s">
        <v>2156</v>
      </c>
      <c r="D4" s="117">
        <f>SUMIF($C$10:$C$416,$C4,$D$10:$D$416)</f>
        <v>1218230</v>
      </c>
      <c r="E4" s="117">
        <f>SUMIF($C$10:$C$416,$C4,$E$10:$E$416)</f>
        <v>1166226</v>
      </c>
      <c r="F4" s="117" t="e">
        <f>SUMIF($C$10:$C$416,$C4,$F$10:$F$416)</f>
        <v>#VALUE!</v>
      </c>
      <c r="G4" s="117" t="e">
        <f>F4-D4</f>
        <v>#VALUE!</v>
      </c>
      <c r="H4" s="117" t="e">
        <f>F4-E4</f>
        <v>#VALUE!</v>
      </c>
      <c r="I4" s="45"/>
      <c r="O4" s="118"/>
      <c r="P4" s="119"/>
      <c r="Q4" s="119"/>
    </row>
    <row r="5" spans="1:17" x14ac:dyDescent="0.25">
      <c r="C5" s="120" t="s">
        <v>50</v>
      </c>
      <c r="D5" s="117">
        <v>-1068568</v>
      </c>
      <c r="E5" s="117">
        <f>D5</f>
        <v>-1068568</v>
      </c>
      <c r="F5" s="117" t="e">
        <v>#VALUE!</v>
      </c>
      <c r="G5" s="117" t="e">
        <f>F5-D5</f>
        <v>#VALUE!</v>
      </c>
      <c r="H5" s="117" t="e">
        <f>F5-E5</f>
        <v>#VALUE!</v>
      </c>
      <c r="I5" s="45"/>
      <c r="O5" s="118"/>
      <c r="P5" s="119"/>
      <c r="Q5" s="119"/>
    </row>
    <row r="6" spans="1:17" ht="13" x14ac:dyDescent="0.3">
      <c r="C6" s="121"/>
      <c r="D6" s="122">
        <f>SUM(D4:D5)</f>
        <v>149662</v>
      </c>
      <c r="E6" s="122">
        <f>SUM(E4:E5)</f>
        <v>97658</v>
      </c>
      <c r="F6" s="122" t="e">
        <f>SUM(F4:F5)</f>
        <v>#VALUE!</v>
      </c>
      <c r="G6" s="122" t="e">
        <f>SUM(G4:G5)</f>
        <v>#VALUE!</v>
      </c>
      <c r="H6" s="122" t="e">
        <f>SUM(H4:H5)</f>
        <v>#VALUE!</v>
      </c>
      <c r="I6" s="123"/>
      <c r="O6" s="118"/>
      <c r="P6" s="119"/>
      <c r="Q6" s="119"/>
    </row>
    <row r="7" spans="1:17" x14ac:dyDescent="0.25">
      <c r="D7" s="117"/>
      <c r="E7" s="117"/>
      <c r="F7" s="117"/>
      <c r="G7" s="117"/>
      <c r="H7" s="117"/>
      <c r="I7" s="45"/>
      <c r="O7" s="118"/>
      <c r="P7" s="119"/>
      <c r="Q7" s="119"/>
    </row>
    <row r="8" spans="1:17" x14ac:dyDescent="0.25">
      <c r="D8" s="117"/>
      <c r="E8" s="117"/>
      <c r="F8" s="117"/>
      <c r="G8" s="117"/>
      <c r="H8" s="117"/>
      <c r="I8" s="45"/>
      <c r="O8" s="118"/>
      <c r="P8" s="119"/>
      <c r="Q8" s="119"/>
    </row>
    <row r="9" spans="1:17" s="174" customFormat="1" ht="36" customHeight="1" x14ac:dyDescent="0.3">
      <c r="A9" s="175" t="s">
        <v>2157</v>
      </c>
      <c r="B9" s="175" t="s">
        <v>2158</v>
      </c>
      <c r="C9" s="175" t="s">
        <v>274</v>
      </c>
      <c r="D9" s="176" t="s">
        <v>2159</v>
      </c>
      <c r="E9" s="176" t="s">
        <v>2160</v>
      </c>
      <c r="F9" s="176" t="s">
        <v>39</v>
      </c>
      <c r="G9" s="176" t="s">
        <v>2161</v>
      </c>
      <c r="H9" s="176" t="s">
        <v>2162</v>
      </c>
      <c r="I9" s="177" t="s">
        <v>2163</v>
      </c>
      <c r="J9" s="175"/>
      <c r="K9" s="175"/>
      <c r="L9" s="175"/>
      <c r="M9" s="175"/>
      <c r="N9" s="175"/>
      <c r="O9" s="175"/>
      <c r="P9" s="175"/>
      <c r="Q9" s="175"/>
    </row>
    <row r="10" spans="1:17" x14ac:dyDescent="0.25">
      <c r="A10" s="120" t="s">
        <v>43</v>
      </c>
      <c r="B10" s="120" t="s">
        <v>53</v>
      </c>
      <c r="C10" s="120" t="s">
        <v>886</v>
      </c>
      <c r="D10" s="117"/>
      <c r="E10" s="117"/>
      <c r="F10" s="117" t="e">
        <v>#VALUE!</v>
      </c>
      <c r="G10" s="117" t="e">
        <f>F10-D10</f>
        <v>#VALUE!</v>
      </c>
      <c r="H10" s="117" t="e">
        <f>F10-E10</f>
        <v>#VALUE!</v>
      </c>
      <c r="I10" s="45"/>
      <c r="J10" s="135"/>
      <c r="O10" s="128">
        <v>1330</v>
      </c>
      <c r="P10" s="129" t="e">
        <f>F10-O10</f>
        <v>#VALUE!</v>
      </c>
      <c r="Q10" s="130" t="e">
        <f>P10/O10</f>
        <v>#VALUE!</v>
      </c>
    </row>
    <row r="11" spans="1:17" x14ac:dyDescent="0.25">
      <c r="A11" s="120" t="s">
        <v>43</v>
      </c>
      <c r="B11" s="120" t="s">
        <v>53</v>
      </c>
      <c r="C11" s="120" t="s">
        <v>816</v>
      </c>
      <c r="D11" s="117"/>
      <c r="E11" s="117"/>
      <c r="F11" s="117" t="e">
        <v>#VALUE!</v>
      </c>
      <c r="G11" s="117" t="e">
        <f>F11-D11</f>
        <v>#VALUE!</v>
      </c>
      <c r="H11" s="117" t="e">
        <f>F11-E11</f>
        <v>#VALUE!</v>
      </c>
      <c r="I11" s="45"/>
      <c r="J11" s="135"/>
      <c r="O11" s="128">
        <v>135</v>
      </c>
      <c r="P11" s="129" t="e">
        <f>F11-O11</f>
        <v>#VALUE!</v>
      </c>
      <c r="Q11" s="130" t="e">
        <f>P11/O11</f>
        <v>#VALUE!</v>
      </c>
    </row>
    <row r="12" spans="1:17" x14ac:dyDescent="0.25">
      <c r="A12" s="120" t="s">
        <v>43</v>
      </c>
      <c r="B12" s="120" t="s">
        <v>53</v>
      </c>
      <c r="C12" s="120" t="s">
        <v>817</v>
      </c>
      <c r="D12" s="117"/>
      <c r="E12" s="117"/>
      <c r="F12" s="117" t="e">
        <v>#VALUE!</v>
      </c>
      <c r="G12" s="117" t="e">
        <f>F12-D12</f>
        <v>#VALUE!</v>
      </c>
      <c r="H12" s="117" t="e">
        <f>F12-E12</f>
        <v>#VALUE!</v>
      </c>
      <c r="I12" s="45"/>
      <c r="J12" s="135"/>
      <c r="O12" s="128">
        <v>160</v>
      </c>
      <c r="P12" s="129" t="e">
        <f>F12-O12</f>
        <v>#VALUE!</v>
      </c>
      <c r="Q12" s="130" t="e">
        <f>P12/O12</f>
        <v>#VALUE!</v>
      </c>
    </row>
    <row r="13" spans="1:17" ht="13" x14ac:dyDescent="0.3">
      <c r="A13" s="120" t="s">
        <v>43</v>
      </c>
      <c r="B13" s="120" t="s">
        <v>53</v>
      </c>
      <c r="C13" s="121" t="s">
        <v>2164</v>
      </c>
      <c r="D13" s="122">
        <f>SUM(D10:D12)</f>
        <v>0</v>
      </c>
      <c r="E13" s="122">
        <f>SUM(E10:E12)</f>
        <v>0</v>
      </c>
      <c r="F13" s="122" t="e">
        <f>SUM(F10:F12)</f>
        <v>#VALUE!</v>
      </c>
      <c r="G13" s="122" t="e">
        <f>SUM(G10:G12)</f>
        <v>#VALUE!</v>
      </c>
      <c r="H13" s="122" t="e">
        <f>SUM(H10:H12)</f>
        <v>#VALUE!</v>
      </c>
      <c r="I13" s="123"/>
      <c r="J13" s="135"/>
      <c r="O13" s="131">
        <v>1625</v>
      </c>
      <c r="P13" s="129" t="e">
        <f>F13-O13</f>
        <v>#VALUE!</v>
      </c>
      <c r="Q13" s="130" t="e">
        <f>P13/O13</f>
        <v>#VALUE!</v>
      </c>
    </row>
    <row r="14" spans="1:17" ht="13" x14ac:dyDescent="0.3">
      <c r="C14" s="121"/>
      <c r="D14" s="122"/>
      <c r="E14" s="122"/>
      <c r="F14" s="122"/>
      <c r="G14" s="122"/>
      <c r="H14" s="122"/>
      <c r="I14" s="123"/>
      <c r="J14" s="135"/>
      <c r="O14" s="131"/>
      <c r="P14" s="119"/>
      <c r="Q14" s="119"/>
    </row>
    <row r="15" spans="1:17" x14ac:dyDescent="0.25">
      <c r="A15" s="120" t="s">
        <v>43</v>
      </c>
      <c r="B15" s="120" t="s">
        <v>755</v>
      </c>
      <c r="C15" s="120" t="s">
        <v>342</v>
      </c>
      <c r="D15" s="117">
        <v>1331</v>
      </c>
      <c r="E15" s="117">
        <f>D15</f>
        <v>1331</v>
      </c>
      <c r="F15" s="117" t="e">
        <v>#VALUE!</v>
      </c>
      <c r="G15" s="117" t="e">
        <f>F15-D15</f>
        <v>#VALUE!</v>
      </c>
      <c r="H15" s="117" t="e">
        <f>F15-E15</f>
        <v>#VALUE!</v>
      </c>
      <c r="I15" s="45"/>
      <c r="J15" s="135"/>
      <c r="O15" s="128">
        <v>449.18</v>
      </c>
      <c r="P15" s="129" t="e">
        <f>F15-O15</f>
        <v>#VALUE!</v>
      </c>
      <c r="Q15" s="130" t="e">
        <f>P15/O15</f>
        <v>#VALUE!</v>
      </c>
    </row>
    <row r="16" spans="1:17" x14ac:dyDescent="0.25">
      <c r="A16" s="120" t="s">
        <v>43</v>
      </c>
      <c r="B16" s="120" t="s">
        <v>755</v>
      </c>
      <c r="C16" s="120" t="s">
        <v>343</v>
      </c>
      <c r="D16" s="117">
        <v>1065</v>
      </c>
      <c r="E16" s="117">
        <f>D16</f>
        <v>1065</v>
      </c>
      <c r="F16" s="117" t="e">
        <v>#VALUE!</v>
      </c>
      <c r="G16" s="117" t="e">
        <f>F16-D16</f>
        <v>#VALUE!</v>
      </c>
      <c r="H16" s="117" t="e">
        <f>F16-E16</f>
        <v>#VALUE!</v>
      </c>
      <c r="I16" s="45"/>
      <c r="J16" s="135"/>
      <c r="O16" s="128">
        <v>800</v>
      </c>
      <c r="P16" s="129" t="e">
        <f>F16-O16</f>
        <v>#VALUE!</v>
      </c>
      <c r="Q16" s="130" t="e">
        <f>P16/O16</f>
        <v>#VALUE!</v>
      </c>
    </row>
    <row r="17" spans="1:17" ht="13" x14ac:dyDescent="0.3">
      <c r="C17" s="121" t="s">
        <v>2165</v>
      </c>
      <c r="D17" s="122">
        <f>SUM(D15:D16)</f>
        <v>2396</v>
      </c>
      <c r="E17" s="122">
        <f>SUM(E15:E16)</f>
        <v>2396</v>
      </c>
      <c r="F17" s="122" t="e">
        <f>SUM(F15:F16)</f>
        <v>#VALUE!</v>
      </c>
      <c r="G17" s="122" t="e">
        <f>SUM(G15:G16)</f>
        <v>#VALUE!</v>
      </c>
      <c r="H17" s="122" t="e">
        <f>SUM(H15:H16)</f>
        <v>#VALUE!</v>
      </c>
      <c r="I17" s="123"/>
      <c r="J17" s="135"/>
      <c r="O17" s="131">
        <v>1249.18</v>
      </c>
      <c r="P17" s="129" t="e">
        <f>F17-O17</f>
        <v>#VALUE!</v>
      </c>
      <c r="Q17" s="130" t="e">
        <f>P17/O17</f>
        <v>#VALUE!</v>
      </c>
    </row>
    <row r="18" spans="1:17" ht="13" x14ac:dyDescent="0.3">
      <c r="C18" s="121"/>
      <c r="D18" s="122"/>
      <c r="E18" s="122"/>
      <c r="F18" s="122"/>
      <c r="G18" s="122"/>
      <c r="H18" s="122"/>
      <c r="I18" s="123"/>
      <c r="J18" s="135"/>
      <c r="O18" s="131"/>
      <c r="P18" s="119"/>
      <c r="Q18" s="119"/>
    </row>
    <row r="19" spans="1:17" x14ac:dyDescent="0.25">
      <c r="A19" s="120" t="s">
        <v>43</v>
      </c>
      <c r="B19" s="120" t="s">
        <v>756</v>
      </c>
      <c r="C19" s="120" t="s">
        <v>906</v>
      </c>
      <c r="D19" s="117"/>
      <c r="E19" s="117"/>
      <c r="F19" s="117" t="e">
        <v>#VALUE!</v>
      </c>
      <c r="G19" s="117" t="e">
        <f>F19-D19</f>
        <v>#VALUE!</v>
      </c>
      <c r="H19" s="117" t="e">
        <f>F19-E19</f>
        <v>#VALUE!</v>
      </c>
      <c r="I19" s="45"/>
      <c r="J19" s="135"/>
      <c r="O19" s="128">
        <v>550.70000000000005</v>
      </c>
      <c r="P19" s="129" t="e">
        <f>F19-O19</f>
        <v>#VALUE!</v>
      </c>
      <c r="Q19" s="130" t="e">
        <f>P19/O19</f>
        <v>#VALUE!</v>
      </c>
    </row>
    <row r="20" spans="1:17" x14ac:dyDescent="0.25">
      <c r="A20" s="120" t="s">
        <v>43</v>
      </c>
      <c r="B20" s="120" t="s">
        <v>756</v>
      </c>
      <c r="C20" s="120" t="s">
        <v>2166</v>
      </c>
      <c r="D20" s="117">
        <v>1992</v>
      </c>
      <c r="E20" s="117">
        <f>D20</f>
        <v>1992</v>
      </c>
      <c r="F20" s="117" t="e">
        <v>#VALUE!</v>
      </c>
      <c r="G20" s="117" t="e">
        <f>F20-D20</f>
        <v>#VALUE!</v>
      </c>
      <c r="H20" s="117" t="e">
        <f>F20-E20</f>
        <v>#VALUE!</v>
      </c>
      <c r="I20" s="45"/>
      <c r="J20" s="135"/>
      <c r="O20" s="128">
        <v>127.23</v>
      </c>
      <c r="P20" s="129" t="e">
        <f>F20-O20</f>
        <v>#VALUE!</v>
      </c>
      <c r="Q20" s="130" t="e">
        <f>P20/O20</f>
        <v>#VALUE!</v>
      </c>
    </row>
    <row r="21" spans="1:17" ht="13" x14ac:dyDescent="0.3">
      <c r="C21" s="121" t="s">
        <v>2167</v>
      </c>
      <c r="D21" s="122">
        <f>SUM(D20)</f>
        <v>1992</v>
      </c>
      <c r="E21" s="122">
        <f>SUM(E20)</f>
        <v>1992</v>
      </c>
      <c r="F21" s="122" t="e">
        <f>SUM(F19:F20)</f>
        <v>#VALUE!</v>
      </c>
      <c r="G21" s="122" t="e">
        <f>SUM(G19:G20)</f>
        <v>#VALUE!</v>
      </c>
      <c r="H21" s="122" t="e">
        <f>SUM(H19:H20)</f>
        <v>#VALUE!</v>
      </c>
      <c r="I21" s="123"/>
      <c r="J21" s="135"/>
      <c r="O21" s="131">
        <v>677.93</v>
      </c>
      <c r="P21" s="129" t="e">
        <f>F21-O21</f>
        <v>#VALUE!</v>
      </c>
      <c r="Q21" s="130" t="e">
        <f>P21/O21</f>
        <v>#VALUE!</v>
      </c>
    </row>
    <row r="22" spans="1:17" x14ac:dyDescent="0.25">
      <c r="D22" s="117"/>
      <c r="E22" s="117"/>
      <c r="F22" s="117"/>
      <c r="G22" s="117"/>
      <c r="H22" s="117"/>
      <c r="I22" s="45"/>
      <c r="J22" s="135"/>
      <c r="O22" s="128"/>
      <c r="P22" s="119"/>
      <c r="Q22" s="119"/>
    </row>
    <row r="23" spans="1:17" x14ac:dyDescent="0.25">
      <c r="A23" s="120" t="s">
        <v>43</v>
      </c>
      <c r="B23" s="120" t="s">
        <v>757</v>
      </c>
      <c r="C23" s="120" t="s">
        <v>351</v>
      </c>
      <c r="D23" s="117">
        <v>877</v>
      </c>
      <c r="E23" s="117">
        <f t="shared" ref="E23:E29" si="0">D23</f>
        <v>877</v>
      </c>
      <c r="F23" s="117" t="e">
        <v>#VALUE!</v>
      </c>
      <c r="G23" s="117" t="e">
        <f t="shared" ref="G23:G29" si="1">F23-D23</f>
        <v>#VALUE!</v>
      </c>
      <c r="H23" s="117" t="e">
        <f t="shared" ref="H23:H29" si="2">F23-E23</f>
        <v>#VALUE!</v>
      </c>
      <c r="I23" s="45"/>
      <c r="J23" s="135"/>
      <c r="O23" s="128">
        <v>2552.4</v>
      </c>
      <c r="P23" s="129" t="e">
        <f t="shared" ref="P23:P30" si="3">F23-O23</f>
        <v>#VALUE!</v>
      </c>
      <c r="Q23" s="130" t="e">
        <f t="shared" ref="Q23:Q30" si="4">P23/O23</f>
        <v>#VALUE!</v>
      </c>
    </row>
    <row r="24" spans="1:17" x14ac:dyDescent="0.25">
      <c r="A24" s="120" t="s">
        <v>43</v>
      </c>
      <c r="B24" s="120" t="s">
        <v>757</v>
      </c>
      <c r="C24" s="120" t="s">
        <v>945</v>
      </c>
      <c r="D24" s="117">
        <v>820</v>
      </c>
      <c r="E24" s="117">
        <f t="shared" si="0"/>
        <v>820</v>
      </c>
      <c r="F24" s="117" t="e">
        <v>#VALUE!</v>
      </c>
      <c r="G24" s="117" t="e">
        <f t="shared" si="1"/>
        <v>#VALUE!</v>
      </c>
      <c r="H24" s="117" t="e">
        <f t="shared" si="2"/>
        <v>#VALUE!</v>
      </c>
      <c r="I24" s="45"/>
      <c r="J24" s="135"/>
      <c r="O24" s="128">
        <v>437.73</v>
      </c>
      <c r="P24" s="129" t="e">
        <f t="shared" si="3"/>
        <v>#VALUE!</v>
      </c>
      <c r="Q24" s="130" t="e">
        <f t="shared" si="4"/>
        <v>#VALUE!</v>
      </c>
    </row>
    <row r="25" spans="1:17" x14ac:dyDescent="0.25">
      <c r="A25" s="120" t="s">
        <v>43</v>
      </c>
      <c r="B25" s="120" t="s">
        <v>757</v>
      </c>
      <c r="C25" s="120" t="s">
        <v>939</v>
      </c>
      <c r="D25" s="117">
        <v>308</v>
      </c>
      <c r="E25" s="117">
        <f t="shared" si="0"/>
        <v>308</v>
      </c>
      <c r="F25" s="117" t="e">
        <v>#VALUE!</v>
      </c>
      <c r="G25" s="117" t="e">
        <f t="shared" si="1"/>
        <v>#VALUE!</v>
      </c>
      <c r="H25" s="117" t="e">
        <f t="shared" si="2"/>
        <v>#VALUE!</v>
      </c>
      <c r="I25" s="45"/>
      <c r="J25" s="135"/>
      <c r="O25" s="128">
        <v>424.1</v>
      </c>
      <c r="P25" s="129" t="e">
        <f t="shared" si="3"/>
        <v>#VALUE!</v>
      </c>
      <c r="Q25" s="130" t="e">
        <f t="shared" si="4"/>
        <v>#VALUE!</v>
      </c>
    </row>
    <row r="26" spans="1:17" x14ac:dyDescent="0.25">
      <c r="A26" s="120" t="s">
        <v>43</v>
      </c>
      <c r="B26" s="120" t="s">
        <v>757</v>
      </c>
      <c r="C26" s="120" t="s">
        <v>956</v>
      </c>
      <c r="D26" s="117">
        <v>0</v>
      </c>
      <c r="E26" s="117">
        <f t="shared" si="0"/>
        <v>0</v>
      </c>
      <c r="F26" s="117" t="e">
        <v>#VALUE!</v>
      </c>
      <c r="G26" s="117" t="e">
        <f t="shared" si="1"/>
        <v>#VALUE!</v>
      </c>
      <c r="H26" s="117" t="e">
        <f t="shared" si="2"/>
        <v>#VALUE!</v>
      </c>
      <c r="I26" s="45"/>
      <c r="J26" s="135"/>
      <c r="O26" s="128"/>
      <c r="P26" s="129"/>
      <c r="Q26" s="130"/>
    </row>
    <row r="27" spans="1:17" x14ac:dyDescent="0.25">
      <c r="A27" s="120" t="s">
        <v>43</v>
      </c>
      <c r="B27" s="120" t="s">
        <v>757</v>
      </c>
      <c r="C27" s="120" t="s">
        <v>950</v>
      </c>
      <c r="D27" s="117">
        <v>0</v>
      </c>
      <c r="E27" s="117">
        <f t="shared" si="0"/>
        <v>0</v>
      </c>
      <c r="F27" s="117" t="e">
        <v>#VALUE!</v>
      </c>
      <c r="G27" s="117" t="e">
        <f t="shared" si="1"/>
        <v>#VALUE!</v>
      </c>
      <c r="H27" s="117" t="e">
        <f t="shared" si="2"/>
        <v>#VALUE!</v>
      </c>
      <c r="I27" s="45"/>
      <c r="J27" s="135"/>
      <c r="O27" s="128"/>
      <c r="P27" s="129"/>
      <c r="Q27" s="130"/>
    </row>
    <row r="28" spans="1:17" x14ac:dyDescent="0.25">
      <c r="A28" s="120" t="s">
        <v>43</v>
      </c>
      <c r="B28" s="120" t="s">
        <v>757</v>
      </c>
      <c r="C28" s="120" t="s">
        <v>954</v>
      </c>
      <c r="D28" s="117">
        <v>32</v>
      </c>
      <c r="E28" s="117">
        <f t="shared" si="0"/>
        <v>32</v>
      </c>
      <c r="F28" s="117" t="e">
        <v>#VALUE!</v>
      </c>
      <c r="G28" s="117" t="e">
        <f t="shared" si="1"/>
        <v>#VALUE!</v>
      </c>
      <c r="H28" s="117" t="e">
        <f t="shared" si="2"/>
        <v>#VALUE!</v>
      </c>
      <c r="I28" s="45"/>
      <c r="J28" s="135"/>
      <c r="O28" s="128">
        <v>0</v>
      </c>
      <c r="P28" s="129" t="e">
        <f t="shared" si="3"/>
        <v>#VALUE!</v>
      </c>
      <c r="Q28" s="130" t="e">
        <f t="shared" si="4"/>
        <v>#VALUE!</v>
      </c>
    </row>
    <row r="29" spans="1:17" x14ac:dyDescent="0.25">
      <c r="A29" s="120" t="s">
        <v>43</v>
      </c>
      <c r="B29" s="120" t="s">
        <v>757</v>
      </c>
      <c r="C29" s="120" t="s">
        <v>348</v>
      </c>
      <c r="D29" s="117">
        <v>63</v>
      </c>
      <c r="E29" s="117">
        <f t="shared" si="0"/>
        <v>63</v>
      </c>
      <c r="F29" s="117" t="e">
        <v>#VALUE!</v>
      </c>
      <c r="G29" s="117" t="e">
        <f t="shared" si="1"/>
        <v>#VALUE!</v>
      </c>
      <c r="H29" s="117" t="e">
        <f t="shared" si="2"/>
        <v>#VALUE!</v>
      </c>
      <c r="I29" s="45"/>
      <c r="J29" s="135"/>
      <c r="O29" s="128">
        <v>50</v>
      </c>
      <c r="P29" s="129" t="e">
        <f t="shared" si="3"/>
        <v>#VALUE!</v>
      </c>
      <c r="Q29" s="130" t="e">
        <f t="shared" si="4"/>
        <v>#VALUE!</v>
      </c>
    </row>
    <row r="30" spans="1:17" ht="13" x14ac:dyDescent="0.3">
      <c r="C30" s="121" t="s">
        <v>2168</v>
      </c>
      <c r="D30" s="122">
        <f>SUM(D23:D29)</f>
        <v>2100</v>
      </c>
      <c r="E30" s="122">
        <f>SUM(E23:E29)</f>
        <v>2100</v>
      </c>
      <c r="F30" s="122" t="e">
        <f>SUM(F23:F29)</f>
        <v>#VALUE!</v>
      </c>
      <c r="G30" s="122" t="e">
        <f>SUM(G23:G29)</f>
        <v>#VALUE!</v>
      </c>
      <c r="H30" s="122" t="e">
        <f>SUM(H23:H29)</f>
        <v>#VALUE!</v>
      </c>
      <c r="I30" s="123"/>
      <c r="J30" s="135"/>
      <c r="O30" s="131">
        <v>3619.23</v>
      </c>
      <c r="P30" s="129" t="e">
        <f t="shared" si="3"/>
        <v>#VALUE!</v>
      </c>
      <c r="Q30" s="130" t="e">
        <f t="shared" si="4"/>
        <v>#VALUE!</v>
      </c>
    </row>
    <row r="31" spans="1:17" x14ac:dyDescent="0.25">
      <c r="D31" s="117"/>
      <c r="E31" s="117"/>
      <c r="F31" s="117"/>
      <c r="G31" s="117"/>
      <c r="H31" s="117"/>
      <c r="I31" s="45"/>
      <c r="J31" s="135"/>
      <c r="O31" s="128"/>
      <c r="P31" s="119"/>
      <c r="Q31" s="119"/>
    </row>
    <row r="32" spans="1:17" x14ac:dyDescent="0.25">
      <c r="A32" s="120" t="s">
        <v>43</v>
      </c>
      <c r="B32" s="120" t="s">
        <v>781</v>
      </c>
      <c r="C32" s="120" t="s">
        <v>781</v>
      </c>
      <c r="D32" s="117">
        <v>0</v>
      </c>
      <c r="E32" s="117">
        <f>D32</f>
        <v>0</v>
      </c>
      <c r="F32" s="117" t="e">
        <v>#VALUE!</v>
      </c>
      <c r="G32" s="117" t="e">
        <f>F32-D32</f>
        <v>#VALUE!</v>
      </c>
      <c r="H32" s="117" t="e">
        <f>F32-E32</f>
        <v>#VALUE!</v>
      </c>
      <c r="I32" s="45"/>
      <c r="J32" s="135"/>
      <c r="O32" s="128">
        <v>0</v>
      </c>
      <c r="P32" s="129" t="e">
        <f>F32-O32</f>
        <v>#VALUE!</v>
      </c>
      <c r="Q32" s="130" t="e">
        <f>P32/O32</f>
        <v>#VALUE!</v>
      </c>
    </row>
    <row r="33" spans="1:17" ht="13" x14ac:dyDescent="0.3">
      <c r="C33" s="121" t="s">
        <v>2169</v>
      </c>
      <c r="D33" s="122">
        <f>SUM(D32)</f>
        <v>0</v>
      </c>
      <c r="E33" s="122">
        <f>SUM(E32)</f>
        <v>0</v>
      </c>
      <c r="F33" s="122" t="e">
        <f>SUM(F32)</f>
        <v>#VALUE!</v>
      </c>
      <c r="G33" s="122" t="e">
        <f>SUM(G32)</f>
        <v>#VALUE!</v>
      </c>
      <c r="H33" s="122" t="e">
        <f>SUM(H32)</f>
        <v>#VALUE!</v>
      </c>
      <c r="I33" s="123"/>
      <c r="J33" s="135"/>
      <c r="O33" s="131">
        <v>0</v>
      </c>
      <c r="P33" s="129" t="e">
        <f>F33-O33</f>
        <v>#VALUE!</v>
      </c>
      <c r="Q33" s="130" t="e">
        <f>P33/O33</f>
        <v>#VALUE!</v>
      </c>
    </row>
    <row r="34" spans="1:17" x14ac:dyDescent="0.25">
      <c r="D34" s="117"/>
      <c r="E34" s="117"/>
      <c r="F34" s="117"/>
      <c r="G34" s="117"/>
      <c r="H34" s="117"/>
      <c r="I34" s="45"/>
      <c r="J34" s="135"/>
      <c r="O34" s="128"/>
      <c r="P34" s="119"/>
      <c r="Q34" s="119"/>
    </row>
    <row r="35" spans="1:17" x14ac:dyDescent="0.25">
      <c r="A35" s="120" t="s">
        <v>43</v>
      </c>
      <c r="B35" s="120" t="s">
        <v>782</v>
      </c>
      <c r="C35" s="120" t="s">
        <v>783</v>
      </c>
      <c r="D35" s="117"/>
      <c r="E35" s="117"/>
      <c r="F35" s="117" t="e">
        <v>#VALUE!</v>
      </c>
      <c r="G35" s="117" t="e">
        <f>F35-D35</f>
        <v>#VALUE!</v>
      </c>
      <c r="H35" s="117" t="e">
        <f>F35-E35</f>
        <v>#VALUE!</v>
      </c>
      <c r="I35" s="45"/>
      <c r="J35" s="135"/>
      <c r="O35" s="128">
        <v>5517.37</v>
      </c>
      <c r="P35" s="129" t="e">
        <f>F35-O35</f>
        <v>#VALUE!</v>
      </c>
      <c r="Q35" s="130" t="e">
        <f>P35/O35</f>
        <v>#VALUE!</v>
      </c>
    </row>
    <row r="36" spans="1:17" x14ac:dyDescent="0.25">
      <c r="A36" s="120" t="s">
        <v>43</v>
      </c>
      <c r="B36" s="120" t="s">
        <v>782</v>
      </c>
      <c r="C36" s="120" t="s">
        <v>784</v>
      </c>
      <c r="D36" s="117"/>
      <c r="E36" s="117"/>
      <c r="F36" s="117" t="e">
        <v>#VALUE!</v>
      </c>
      <c r="G36" s="117" t="e">
        <f>F36-D36</f>
        <v>#VALUE!</v>
      </c>
      <c r="H36" s="117" t="e">
        <f>F36-E36</f>
        <v>#VALUE!</v>
      </c>
      <c r="I36" s="45"/>
      <c r="J36" s="135"/>
      <c r="O36" s="128">
        <v>2388.16</v>
      </c>
      <c r="P36" s="129" t="e">
        <f>F36-O36</f>
        <v>#VALUE!</v>
      </c>
      <c r="Q36" s="130" t="e">
        <f>P36/O36</f>
        <v>#VALUE!</v>
      </c>
    </row>
    <row r="37" spans="1:17" ht="13" x14ac:dyDescent="0.3">
      <c r="C37" s="121" t="s">
        <v>2170</v>
      </c>
      <c r="D37" s="122">
        <f>SUM(D35:D36)</f>
        <v>0</v>
      </c>
      <c r="E37" s="122">
        <f>SUM(E35:E36)</f>
        <v>0</v>
      </c>
      <c r="F37" s="122" t="e">
        <f>SUM(F35:F36)</f>
        <v>#VALUE!</v>
      </c>
      <c r="G37" s="122" t="e">
        <f>SUM(G35:G36)</f>
        <v>#VALUE!</v>
      </c>
      <c r="H37" s="122" t="e">
        <f>SUM(H35:H36)</f>
        <v>#VALUE!</v>
      </c>
      <c r="I37" s="123"/>
      <c r="J37" s="135"/>
      <c r="O37" s="131">
        <v>7905.53</v>
      </c>
      <c r="P37" s="129" t="e">
        <f>F37-O37</f>
        <v>#VALUE!</v>
      </c>
      <c r="Q37" s="130" t="e">
        <f>P37/O37</f>
        <v>#VALUE!</v>
      </c>
    </row>
    <row r="38" spans="1:17" x14ac:dyDescent="0.25">
      <c r="D38" s="117"/>
      <c r="E38" s="117"/>
      <c r="F38" s="117"/>
      <c r="G38" s="117"/>
      <c r="H38" s="117"/>
      <c r="I38" s="45"/>
      <c r="J38" s="135"/>
      <c r="O38" s="128"/>
      <c r="P38" s="119"/>
      <c r="Q38" s="119"/>
    </row>
    <row r="39" spans="1:17" x14ac:dyDescent="0.25">
      <c r="A39" s="120" t="s">
        <v>43</v>
      </c>
      <c r="B39" s="120" t="s">
        <v>2171</v>
      </c>
      <c r="C39" s="120" t="s">
        <v>877</v>
      </c>
      <c r="D39" s="117">
        <v>-4563</v>
      </c>
      <c r="E39" s="117">
        <v>-4563</v>
      </c>
      <c r="F39" s="117" t="e">
        <v>#VALUE!</v>
      </c>
      <c r="G39" s="117" t="e">
        <f>F39-D39</f>
        <v>#VALUE!</v>
      </c>
      <c r="H39" s="117" t="e">
        <f>F39-E39</f>
        <v>#VALUE!</v>
      </c>
      <c r="I39" s="45"/>
      <c r="J39" s="135"/>
      <c r="O39" s="128">
        <v>-3764.8</v>
      </c>
      <c r="P39" s="129" t="e">
        <f>F39-O39</f>
        <v>#VALUE!</v>
      </c>
      <c r="Q39" s="130" t="e">
        <f>P39/O39</f>
        <v>#VALUE!</v>
      </c>
    </row>
    <row r="40" spans="1:17" x14ac:dyDescent="0.25">
      <c r="A40" s="120" t="s">
        <v>43</v>
      </c>
      <c r="B40" s="120" t="s">
        <v>2171</v>
      </c>
      <c r="C40" s="120" t="s">
        <v>884</v>
      </c>
      <c r="D40" s="117">
        <v>-3</v>
      </c>
      <c r="E40" s="117">
        <f>D40</f>
        <v>-3</v>
      </c>
      <c r="F40" s="117" t="e">
        <v>#VALUE!</v>
      </c>
      <c r="G40" s="117" t="e">
        <f>F40-D40</f>
        <v>#VALUE!</v>
      </c>
      <c r="H40" s="117" t="e">
        <f>F40-E40</f>
        <v>#VALUE!</v>
      </c>
      <c r="I40" s="45"/>
      <c r="J40" s="135"/>
      <c r="O40" s="128">
        <v>-3.45</v>
      </c>
      <c r="P40" s="129" t="e">
        <f>F40-O40</f>
        <v>#VALUE!</v>
      </c>
      <c r="Q40" s="130" t="e">
        <f>P40/O40</f>
        <v>#VALUE!</v>
      </c>
    </row>
    <row r="41" spans="1:17" ht="13" x14ac:dyDescent="0.3">
      <c r="C41" s="121" t="s">
        <v>2172</v>
      </c>
      <c r="D41" s="122">
        <f>SUM(D39:D40)</f>
        <v>-4566</v>
      </c>
      <c r="E41" s="122">
        <f>SUM(E39:E40)</f>
        <v>-4566</v>
      </c>
      <c r="F41" s="122" t="e">
        <f>SUM(F39:F40)</f>
        <v>#VALUE!</v>
      </c>
      <c r="G41" s="122" t="e">
        <f>SUM(G39:G40)</f>
        <v>#VALUE!</v>
      </c>
      <c r="H41" s="122" t="e">
        <f>SUM(H39:H40)</f>
        <v>#VALUE!</v>
      </c>
      <c r="I41" s="123"/>
      <c r="J41" s="135"/>
      <c r="O41" s="131">
        <v>-3768.25</v>
      </c>
      <c r="P41" s="129" t="e">
        <f>F41-O41</f>
        <v>#VALUE!</v>
      </c>
      <c r="Q41" s="130" t="e">
        <f>P41/O41</f>
        <v>#VALUE!</v>
      </c>
    </row>
    <row r="42" spans="1:17" ht="13" x14ac:dyDescent="0.3">
      <c r="C42" s="121"/>
      <c r="D42" s="122"/>
      <c r="E42" s="122"/>
      <c r="F42" s="122"/>
      <c r="G42" s="122"/>
      <c r="H42" s="122"/>
      <c r="I42" s="123"/>
      <c r="J42" s="135"/>
      <c r="O42" s="131"/>
      <c r="P42" s="119"/>
      <c r="Q42" s="119"/>
    </row>
    <row r="43" spans="1:17" ht="13" x14ac:dyDescent="0.3">
      <c r="C43" s="121" t="s">
        <v>2156</v>
      </c>
      <c r="D43" s="122">
        <f>+D41+D33+D30+D21+D17+D13+D37</f>
        <v>1922</v>
      </c>
      <c r="E43" s="122">
        <f>+E41+E33+E30+E21+E17+E13+E37</f>
        <v>1922</v>
      </c>
      <c r="F43" s="122" t="e">
        <f>+F41+F33+F30+F21+F17+F13+F37</f>
        <v>#VALUE!</v>
      </c>
      <c r="G43" s="122" t="e">
        <f>+G41+G33+G30+G21+G17+G13+G37</f>
        <v>#VALUE!</v>
      </c>
      <c r="H43" s="122" t="e">
        <f>+H41+H33+H30+H21+H17+H13+H37</f>
        <v>#VALUE!</v>
      </c>
      <c r="I43" s="123"/>
      <c r="J43" s="135"/>
      <c r="K43" s="135"/>
      <c r="L43" s="135"/>
      <c r="M43" s="135"/>
      <c r="O43" s="131">
        <v>11308.62</v>
      </c>
      <c r="P43" s="129" t="e">
        <f>F43-O43</f>
        <v>#VALUE!</v>
      </c>
      <c r="Q43" s="130" t="e">
        <f>P43/O43</f>
        <v>#VALUE!</v>
      </c>
    </row>
    <row r="44" spans="1:17" ht="13" x14ac:dyDescent="0.3">
      <c r="C44" s="121"/>
      <c r="D44" s="122"/>
      <c r="E44" s="122" t="e">
        <f>IF(F44="","","CHECK")</f>
        <v>#VALUE!</v>
      </c>
      <c r="F44" s="122" t="e">
        <v>#VALUE!</v>
      </c>
      <c r="G44" s="122"/>
      <c r="H44" s="122"/>
      <c r="I44" s="123"/>
      <c r="J44" s="135"/>
      <c r="K44" s="135"/>
      <c r="L44" s="135"/>
      <c r="M44" s="135"/>
      <c r="O44" s="131"/>
      <c r="P44" s="129"/>
      <c r="Q44" s="130"/>
    </row>
    <row r="45" spans="1:17" x14ac:dyDescent="0.25">
      <c r="A45" s="120" t="s">
        <v>88</v>
      </c>
      <c r="B45" s="120" t="s">
        <v>53</v>
      </c>
      <c r="C45" s="120" t="s">
        <v>886</v>
      </c>
      <c r="D45" s="117">
        <v>243678</v>
      </c>
      <c r="E45" s="117">
        <v>236409</v>
      </c>
      <c r="F45" s="117" t="e">
        <v>#VALUE!</v>
      </c>
      <c r="G45" s="117" t="e">
        <f>F45-D45</f>
        <v>#VALUE!</v>
      </c>
      <c r="H45" s="117" t="e">
        <f>F45-E45</f>
        <v>#VALUE!</v>
      </c>
      <c r="I45" s="45"/>
      <c r="J45" s="135"/>
      <c r="O45" s="128">
        <v>181537.64</v>
      </c>
      <c r="P45" s="129" t="e">
        <f>F45-O45</f>
        <v>#VALUE!</v>
      </c>
      <c r="Q45" s="130" t="e">
        <f>P45/O45</f>
        <v>#VALUE!</v>
      </c>
    </row>
    <row r="46" spans="1:17" x14ac:dyDescent="0.25">
      <c r="A46" s="120" t="s">
        <v>88</v>
      </c>
      <c r="B46" s="120" t="s">
        <v>53</v>
      </c>
      <c r="C46" s="120" t="s">
        <v>816</v>
      </c>
      <c r="D46" s="117">
        <v>16175</v>
      </c>
      <c r="E46" s="117">
        <v>15666</v>
      </c>
      <c r="F46" s="117" t="e">
        <v>#VALUE!</v>
      </c>
      <c r="G46" s="117" t="e">
        <f>F46-D46</f>
        <v>#VALUE!</v>
      </c>
      <c r="H46" s="117" t="e">
        <f>F46-E46</f>
        <v>#VALUE!</v>
      </c>
      <c r="I46" s="45"/>
      <c r="J46" s="135"/>
      <c r="O46" s="128">
        <v>11306.38</v>
      </c>
      <c r="P46" s="129" t="e">
        <f>F46-O46</f>
        <v>#VALUE!</v>
      </c>
      <c r="Q46" s="130" t="e">
        <f>P46/O46</f>
        <v>#VALUE!</v>
      </c>
    </row>
    <row r="47" spans="1:17" x14ac:dyDescent="0.25">
      <c r="A47" s="120" t="s">
        <v>88</v>
      </c>
      <c r="B47" s="120" t="s">
        <v>53</v>
      </c>
      <c r="C47" s="120" t="s">
        <v>817</v>
      </c>
      <c r="D47" s="117">
        <v>45290</v>
      </c>
      <c r="E47" s="117">
        <v>26000</v>
      </c>
      <c r="F47" s="117" t="e">
        <v>#VALUE!</v>
      </c>
      <c r="G47" s="117" t="e">
        <f>F47-D47</f>
        <v>#VALUE!</v>
      </c>
      <c r="H47" s="117" t="e">
        <f>F47-E47</f>
        <v>#VALUE!</v>
      </c>
      <c r="I47" s="45"/>
      <c r="J47" s="135"/>
      <c r="O47" s="128">
        <v>20314.32</v>
      </c>
      <c r="P47" s="129" t="e">
        <f>F47-O47</f>
        <v>#VALUE!</v>
      </c>
      <c r="Q47" s="130" t="e">
        <f>P47/O47</f>
        <v>#VALUE!</v>
      </c>
    </row>
    <row r="48" spans="1:17" x14ac:dyDescent="0.25">
      <c r="A48" s="120" t="s">
        <v>88</v>
      </c>
      <c r="B48" s="120" t="s">
        <v>53</v>
      </c>
      <c r="C48" s="120" t="s">
        <v>350</v>
      </c>
      <c r="D48" s="117">
        <v>4034</v>
      </c>
      <c r="E48" s="117">
        <f>D48</f>
        <v>4034</v>
      </c>
      <c r="F48" s="117" t="e">
        <v>#VALUE!</v>
      </c>
      <c r="G48" s="117" t="e">
        <f>F48-D48</f>
        <v>#VALUE!</v>
      </c>
      <c r="H48" s="117" t="e">
        <f>F48-E48</f>
        <v>#VALUE!</v>
      </c>
      <c r="I48" s="45"/>
      <c r="J48" s="135"/>
      <c r="O48" s="128">
        <v>765</v>
      </c>
      <c r="P48" s="129" t="e">
        <f>F48-O48</f>
        <v>#VALUE!</v>
      </c>
      <c r="Q48" s="130" t="e">
        <f>P48/O48</f>
        <v>#VALUE!</v>
      </c>
    </row>
    <row r="49" spans="1:17" ht="13" x14ac:dyDescent="0.3">
      <c r="C49" s="121" t="s">
        <v>2164</v>
      </c>
      <c r="D49" s="122">
        <f>SUM(D45:D48)</f>
        <v>309177</v>
      </c>
      <c r="E49" s="122">
        <f>SUM(E45:E48)</f>
        <v>282109</v>
      </c>
      <c r="F49" s="122" t="e">
        <f>SUM(F45:F48)</f>
        <v>#VALUE!</v>
      </c>
      <c r="G49" s="122" t="e">
        <f>SUM(G45:G48)</f>
        <v>#VALUE!</v>
      </c>
      <c r="H49" s="122" t="e">
        <f>SUM(H45:H48)</f>
        <v>#VALUE!</v>
      </c>
      <c r="I49" s="123"/>
      <c r="J49" s="135"/>
      <c r="O49" s="131">
        <v>213923.34</v>
      </c>
      <c r="P49" s="129" t="e">
        <f>F49-O49</f>
        <v>#VALUE!</v>
      </c>
      <c r="Q49" s="130" t="e">
        <f>P49/O49</f>
        <v>#VALUE!</v>
      </c>
    </row>
    <row r="50" spans="1:17" x14ac:dyDescent="0.25">
      <c r="D50" s="117"/>
      <c r="E50" s="117"/>
      <c r="F50" s="117"/>
      <c r="G50" s="117"/>
      <c r="H50" s="117"/>
      <c r="I50" s="45"/>
      <c r="J50" s="135"/>
      <c r="O50" s="128"/>
      <c r="P50" s="119"/>
      <c r="Q50" s="119"/>
    </row>
    <row r="51" spans="1:17" x14ac:dyDescent="0.25">
      <c r="A51" s="120" t="s">
        <v>88</v>
      </c>
      <c r="B51" s="120" t="s">
        <v>755</v>
      </c>
      <c r="C51" s="120" t="s">
        <v>820</v>
      </c>
      <c r="D51" s="117">
        <v>5175</v>
      </c>
      <c r="E51" s="117">
        <f>D51</f>
        <v>5175</v>
      </c>
      <c r="F51" s="117" t="e">
        <v>#VALUE!</v>
      </c>
      <c r="G51" s="117" t="e">
        <f t="shared" ref="G51:G60" si="5">F51-D51</f>
        <v>#VALUE!</v>
      </c>
      <c r="H51" s="117" t="e">
        <f t="shared" ref="H51:H60" si="6">F51-E51</f>
        <v>#VALUE!</v>
      </c>
      <c r="I51" s="45"/>
      <c r="J51" s="135"/>
      <c r="O51" s="128">
        <v>2530.31</v>
      </c>
      <c r="P51" s="129" t="e">
        <f t="shared" ref="P51:P61" si="7">F51-O51</f>
        <v>#VALUE!</v>
      </c>
      <c r="Q51" s="130" t="e">
        <f t="shared" ref="Q51:Q61" si="8">P51/O51</f>
        <v>#VALUE!</v>
      </c>
    </row>
    <row r="52" spans="1:17" x14ac:dyDescent="0.25">
      <c r="A52" s="120" t="s">
        <v>88</v>
      </c>
      <c r="B52" s="120" t="s">
        <v>755</v>
      </c>
      <c r="C52" s="120" t="s">
        <v>2173</v>
      </c>
      <c r="D52" s="117"/>
      <c r="E52" s="117"/>
      <c r="F52" s="117" t="e">
        <v>#VALUE!</v>
      </c>
      <c r="G52" s="117" t="e">
        <f>F52-D52</f>
        <v>#VALUE!</v>
      </c>
      <c r="H52" s="117" t="e">
        <f t="shared" si="6"/>
        <v>#VALUE!</v>
      </c>
      <c r="I52" s="45"/>
      <c r="J52" s="135"/>
      <c r="O52" s="128"/>
      <c r="P52" s="129"/>
      <c r="Q52" s="130"/>
    </row>
    <row r="53" spans="1:17" x14ac:dyDescent="0.25">
      <c r="A53" s="120" t="s">
        <v>88</v>
      </c>
      <c r="B53" s="120" t="s">
        <v>755</v>
      </c>
      <c r="C53" s="120" t="s">
        <v>341</v>
      </c>
      <c r="D53" s="117">
        <v>7502</v>
      </c>
      <c r="E53" s="117">
        <f>D53</f>
        <v>7502</v>
      </c>
      <c r="F53" s="117" t="e">
        <v>#VALUE!</v>
      </c>
      <c r="G53" s="117" t="e">
        <f t="shared" si="5"/>
        <v>#VALUE!</v>
      </c>
      <c r="H53" s="117" t="e">
        <f t="shared" si="6"/>
        <v>#VALUE!</v>
      </c>
      <c r="I53" s="45"/>
      <c r="J53" s="135"/>
      <c r="O53" s="128">
        <v>2999.51</v>
      </c>
      <c r="P53" s="129" t="e">
        <f t="shared" si="7"/>
        <v>#VALUE!</v>
      </c>
      <c r="Q53" s="130" t="e">
        <f t="shared" si="8"/>
        <v>#VALUE!</v>
      </c>
    </row>
    <row r="54" spans="1:17" x14ac:dyDescent="0.25">
      <c r="A54" s="120" t="s">
        <v>88</v>
      </c>
      <c r="B54" s="120" t="s">
        <v>755</v>
      </c>
      <c r="C54" s="120" t="s">
        <v>342</v>
      </c>
      <c r="D54" s="117">
        <v>13915</v>
      </c>
      <c r="E54" s="117">
        <f>D54</f>
        <v>13915</v>
      </c>
      <c r="F54" s="117" t="e">
        <v>#VALUE!</v>
      </c>
      <c r="G54" s="117" t="e">
        <f t="shared" si="5"/>
        <v>#VALUE!</v>
      </c>
      <c r="H54" s="117" t="e">
        <f t="shared" si="6"/>
        <v>#VALUE!</v>
      </c>
      <c r="I54" s="45"/>
      <c r="J54" s="135"/>
      <c r="O54" s="128">
        <v>9662.16</v>
      </c>
      <c r="P54" s="129" t="e">
        <f t="shared" si="7"/>
        <v>#VALUE!</v>
      </c>
      <c r="Q54" s="130" t="e">
        <f t="shared" si="8"/>
        <v>#VALUE!</v>
      </c>
    </row>
    <row r="55" spans="1:17" x14ac:dyDescent="0.25">
      <c r="A55" s="120" t="s">
        <v>88</v>
      </c>
      <c r="B55" s="120" t="s">
        <v>755</v>
      </c>
      <c r="C55" s="120" t="s">
        <v>343</v>
      </c>
      <c r="D55" s="117">
        <v>8816</v>
      </c>
      <c r="E55" s="117">
        <f>D55</f>
        <v>8816</v>
      </c>
      <c r="F55" s="117" t="e">
        <v>#VALUE!</v>
      </c>
      <c r="G55" s="117" t="e">
        <f t="shared" si="5"/>
        <v>#VALUE!</v>
      </c>
      <c r="H55" s="117" t="e">
        <f t="shared" si="6"/>
        <v>#VALUE!</v>
      </c>
      <c r="I55" s="45"/>
      <c r="J55" s="135"/>
      <c r="O55" s="128">
        <v>7374</v>
      </c>
      <c r="P55" s="129" t="e">
        <f t="shared" si="7"/>
        <v>#VALUE!</v>
      </c>
      <c r="Q55" s="130" t="e">
        <f t="shared" si="8"/>
        <v>#VALUE!</v>
      </c>
    </row>
    <row r="56" spans="1:17" x14ac:dyDescent="0.25">
      <c r="A56" s="120" t="s">
        <v>88</v>
      </c>
      <c r="B56" s="120" t="s">
        <v>755</v>
      </c>
      <c r="C56" s="120" t="s">
        <v>1197</v>
      </c>
      <c r="D56" s="117"/>
      <c r="E56" s="117"/>
      <c r="F56" s="117" t="e">
        <v>#VALUE!</v>
      </c>
      <c r="G56" s="117" t="e">
        <f t="shared" si="5"/>
        <v>#VALUE!</v>
      </c>
      <c r="H56" s="117" t="e">
        <f t="shared" si="6"/>
        <v>#VALUE!</v>
      </c>
      <c r="I56" s="45"/>
      <c r="J56" s="135"/>
      <c r="O56" s="128">
        <v>39.119999999999997</v>
      </c>
      <c r="P56" s="129" t="e">
        <f t="shared" si="7"/>
        <v>#VALUE!</v>
      </c>
      <c r="Q56" s="130" t="e">
        <f t="shared" si="8"/>
        <v>#VALUE!</v>
      </c>
    </row>
    <row r="57" spans="1:17" x14ac:dyDescent="0.25">
      <c r="A57" s="120" t="s">
        <v>88</v>
      </c>
      <c r="B57" s="120" t="s">
        <v>755</v>
      </c>
      <c r="C57" s="120" t="s">
        <v>344</v>
      </c>
      <c r="D57" s="117">
        <v>17140</v>
      </c>
      <c r="E57" s="117">
        <f>D57</f>
        <v>17140</v>
      </c>
      <c r="F57" s="117" t="e">
        <v>#VALUE!</v>
      </c>
      <c r="G57" s="117" t="e">
        <f t="shared" si="5"/>
        <v>#VALUE!</v>
      </c>
      <c r="H57" s="117" t="e">
        <f t="shared" si="6"/>
        <v>#VALUE!</v>
      </c>
      <c r="I57" s="45"/>
      <c r="J57" s="135"/>
      <c r="O57" s="128">
        <v>222.64</v>
      </c>
      <c r="P57" s="129" t="e">
        <f t="shared" si="7"/>
        <v>#VALUE!</v>
      </c>
      <c r="Q57" s="130" t="e">
        <f t="shared" si="8"/>
        <v>#VALUE!</v>
      </c>
    </row>
    <row r="58" spans="1:17" x14ac:dyDescent="0.25">
      <c r="A58" s="120" t="s">
        <v>88</v>
      </c>
      <c r="B58" s="120" t="s">
        <v>755</v>
      </c>
      <c r="C58" s="120" t="s">
        <v>821</v>
      </c>
      <c r="D58" s="117"/>
      <c r="E58" s="117"/>
      <c r="F58" s="117" t="e">
        <v>#VALUE!</v>
      </c>
      <c r="G58" s="117" t="e">
        <f t="shared" si="5"/>
        <v>#VALUE!</v>
      </c>
      <c r="H58" s="117" t="e">
        <f t="shared" si="6"/>
        <v>#VALUE!</v>
      </c>
      <c r="I58" s="45"/>
      <c r="J58" s="135"/>
      <c r="O58" s="128">
        <v>1851.85</v>
      </c>
      <c r="P58" s="129" t="e">
        <f t="shared" si="7"/>
        <v>#VALUE!</v>
      </c>
      <c r="Q58" s="130" t="e">
        <f t="shared" si="8"/>
        <v>#VALUE!</v>
      </c>
    </row>
    <row r="59" spans="1:17" x14ac:dyDescent="0.25">
      <c r="A59" s="120" t="s">
        <v>88</v>
      </c>
      <c r="B59" s="120" t="s">
        <v>755</v>
      </c>
      <c r="C59" s="120" t="s">
        <v>351</v>
      </c>
      <c r="D59" s="117">
        <v>6692</v>
      </c>
      <c r="E59" s="117">
        <f>D59</f>
        <v>6692</v>
      </c>
      <c r="F59" s="117" t="e">
        <v>#VALUE!</v>
      </c>
      <c r="G59" s="117" t="e">
        <f t="shared" si="5"/>
        <v>#VALUE!</v>
      </c>
      <c r="H59" s="117" t="e">
        <f t="shared" si="6"/>
        <v>#VALUE!</v>
      </c>
      <c r="I59" s="45"/>
      <c r="J59" s="135"/>
      <c r="O59" s="128">
        <v>3513.42</v>
      </c>
      <c r="P59" s="129" t="e">
        <f t="shared" si="7"/>
        <v>#VALUE!</v>
      </c>
      <c r="Q59" s="130" t="e">
        <f t="shared" si="8"/>
        <v>#VALUE!</v>
      </c>
    </row>
    <row r="60" spans="1:17" x14ac:dyDescent="0.25">
      <c r="A60" s="120" t="s">
        <v>88</v>
      </c>
      <c r="B60" s="120" t="s">
        <v>755</v>
      </c>
      <c r="C60" s="120" t="s">
        <v>1021</v>
      </c>
      <c r="D60" s="117"/>
      <c r="E60" s="117"/>
      <c r="F60" s="117" t="e">
        <v>#VALUE!</v>
      </c>
      <c r="G60" s="117" t="e">
        <f t="shared" si="5"/>
        <v>#VALUE!</v>
      </c>
      <c r="H60" s="117" t="e">
        <f t="shared" si="6"/>
        <v>#VALUE!</v>
      </c>
      <c r="I60" s="45"/>
      <c r="J60" s="135"/>
      <c r="O60" s="128">
        <v>140</v>
      </c>
      <c r="P60" s="129" t="e">
        <f t="shared" si="7"/>
        <v>#VALUE!</v>
      </c>
      <c r="Q60" s="130" t="e">
        <f t="shared" si="8"/>
        <v>#VALUE!</v>
      </c>
    </row>
    <row r="61" spans="1:17" ht="13" x14ac:dyDescent="0.3">
      <c r="C61" s="121" t="s">
        <v>2165</v>
      </c>
      <c r="D61" s="122">
        <f>SUM(D51:D60)</f>
        <v>59240</v>
      </c>
      <c r="E61" s="122">
        <f>SUM(E51:E60)</f>
        <v>59240</v>
      </c>
      <c r="F61" s="122" t="e">
        <f>SUM(F51:F60)</f>
        <v>#VALUE!</v>
      </c>
      <c r="G61" s="122" t="e">
        <f>SUM(G51:G60)</f>
        <v>#VALUE!</v>
      </c>
      <c r="H61" s="122" t="e">
        <f>SUM(H51:H60)</f>
        <v>#VALUE!</v>
      </c>
      <c r="I61" s="123"/>
      <c r="J61" s="135"/>
      <c r="O61" s="131">
        <v>28333.01</v>
      </c>
      <c r="P61" s="129" t="e">
        <f t="shared" si="7"/>
        <v>#VALUE!</v>
      </c>
      <c r="Q61" s="130" t="e">
        <f t="shared" si="8"/>
        <v>#VALUE!</v>
      </c>
    </row>
    <row r="62" spans="1:17" x14ac:dyDescent="0.25">
      <c r="D62" s="117"/>
      <c r="E62" s="117"/>
      <c r="F62" s="117"/>
      <c r="G62" s="117"/>
      <c r="H62" s="117"/>
      <c r="I62" s="45"/>
      <c r="J62" s="135"/>
      <c r="O62" s="128"/>
      <c r="P62" s="119"/>
      <c r="Q62" s="119"/>
    </row>
    <row r="63" spans="1:17" x14ac:dyDescent="0.25">
      <c r="A63" s="120" t="s">
        <v>88</v>
      </c>
      <c r="B63" s="120" t="s">
        <v>756</v>
      </c>
      <c r="C63" s="120" t="s">
        <v>1167</v>
      </c>
      <c r="D63" s="117">
        <v>1261</v>
      </c>
      <c r="E63" s="117">
        <f>D63</f>
        <v>1261</v>
      </c>
      <c r="F63" s="117" t="e">
        <v>#VALUE!</v>
      </c>
      <c r="G63" s="117" t="e">
        <f>F63-D63</f>
        <v>#VALUE!</v>
      </c>
      <c r="H63" s="117" t="e">
        <f>F63-E63</f>
        <v>#VALUE!</v>
      </c>
      <c r="I63" s="45"/>
      <c r="J63" s="135"/>
      <c r="O63" s="128">
        <v>1046.79</v>
      </c>
      <c r="P63" s="129" t="e">
        <f>F63-O63</f>
        <v>#VALUE!</v>
      </c>
      <c r="Q63" s="130" t="e">
        <f>P63/O63</f>
        <v>#VALUE!</v>
      </c>
    </row>
    <row r="64" spans="1:17" x14ac:dyDescent="0.25">
      <c r="A64" s="120" t="s">
        <v>88</v>
      </c>
      <c r="B64" s="120" t="s">
        <v>756</v>
      </c>
      <c r="C64" s="120" t="s">
        <v>915</v>
      </c>
      <c r="D64" s="117">
        <v>8812</v>
      </c>
      <c r="E64" s="117">
        <f>D64</f>
        <v>8812</v>
      </c>
      <c r="F64" s="117" t="e">
        <v>#VALUE!</v>
      </c>
      <c r="G64" s="117" t="e">
        <f>F64-D64</f>
        <v>#VALUE!</v>
      </c>
      <c r="H64" s="117" t="e">
        <f>F64-E64</f>
        <v>#VALUE!</v>
      </c>
      <c r="I64" s="45"/>
      <c r="J64" s="135"/>
      <c r="O64" s="128">
        <v>6424.83</v>
      </c>
      <c r="P64" s="129" t="e">
        <f>F64-O64</f>
        <v>#VALUE!</v>
      </c>
      <c r="Q64" s="130" t="e">
        <f>P64/O64</f>
        <v>#VALUE!</v>
      </c>
    </row>
    <row r="65" spans="1:17" x14ac:dyDescent="0.25">
      <c r="A65" s="120" t="s">
        <v>88</v>
      </c>
      <c r="B65" s="120" t="s">
        <v>756</v>
      </c>
      <c r="C65" s="120" t="s">
        <v>1273</v>
      </c>
      <c r="D65" s="117"/>
      <c r="E65" s="117"/>
      <c r="F65" s="117" t="e">
        <v>#VALUE!</v>
      </c>
      <c r="G65" s="117" t="e">
        <f>F65-D65</f>
        <v>#VALUE!</v>
      </c>
      <c r="H65" s="117" t="e">
        <f>F65-E65</f>
        <v>#VALUE!</v>
      </c>
      <c r="I65" s="45"/>
      <c r="J65" s="135"/>
      <c r="O65" s="128">
        <v>2493.14</v>
      </c>
      <c r="P65" s="129" t="e">
        <f>F65-O65</f>
        <v>#VALUE!</v>
      </c>
      <c r="Q65" s="130" t="e">
        <f>P65/O65</f>
        <v>#VALUE!</v>
      </c>
    </row>
    <row r="66" spans="1:17" x14ac:dyDescent="0.25">
      <c r="A66" s="120" t="s">
        <v>88</v>
      </c>
      <c r="B66" s="120" t="s">
        <v>756</v>
      </c>
      <c r="C66" s="120" t="s">
        <v>1281</v>
      </c>
      <c r="D66" s="117">
        <v>4285</v>
      </c>
      <c r="E66" s="117">
        <f>D66</f>
        <v>4285</v>
      </c>
      <c r="F66" s="117" t="e">
        <v>#VALUE!</v>
      </c>
      <c r="G66" s="117" t="e">
        <f>F66-D66</f>
        <v>#VALUE!</v>
      </c>
      <c r="H66" s="117" t="e">
        <f>F66-E66</f>
        <v>#VALUE!</v>
      </c>
      <c r="I66" s="45"/>
      <c r="J66" s="135"/>
      <c r="O66" s="128">
        <v>6233.44</v>
      </c>
      <c r="P66" s="129" t="e">
        <f>F66-O66</f>
        <v>#VALUE!</v>
      </c>
      <c r="Q66" s="130" t="e">
        <f>P66/O66</f>
        <v>#VALUE!</v>
      </c>
    </row>
    <row r="67" spans="1:17" ht="13" x14ac:dyDescent="0.3">
      <c r="C67" s="121" t="s">
        <v>2167</v>
      </c>
      <c r="D67" s="122">
        <f>SUM(D63:D66)</f>
        <v>14358</v>
      </c>
      <c r="E67" s="122">
        <f>SUM(E63:E66)</f>
        <v>14358</v>
      </c>
      <c r="F67" s="122" t="e">
        <f>SUM(F63:F66)</f>
        <v>#VALUE!</v>
      </c>
      <c r="G67" s="122" t="e">
        <f>SUM(G63:G66)</f>
        <v>#VALUE!</v>
      </c>
      <c r="H67" s="122" t="e">
        <f>SUM(H63:H66)</f>
        <v>#VALUE!</v>
      </c>
      <c r="I67" s="123"/>
      <c r="J67" s="135"/>
      <c r="O67" s="131">
        <v>16198.2</v>
      </c>
      <c r="P67" s="129" t="e">
        <f>F67-O67</f>
        <v>#VALUE!</v>
      </c>
      <c r="Q67" s="130" t="e">
        <f>P67/O67</f>
        <v>#VALUE!</v>
      </c>
    </row>
    <row r="68" spans="1:17" x14ac:dyDescent="0.25">
      <c r="D68" s="117"/>
      <c r="E68" s="117"/>
      <c r="F68" s="117"/>
      <c r="G68" s="117"/>
      <c r="H68" s="117"/>
      <c r="I68" s="45"/>
      <c r="J68" s="135"/>
      <c r="O68" s="128"/>
      <c r="P68" s="119"/>
      <c r="Q68" s="119"/>
    </row>
    <row r="69" spans="1:17" x14ac:dyDescent="0.25">
      <c r="A69" s="120" t="s">
        <v>88</v>
      </c>
      <c r="B69" s="120" t="s">
        <v>757</v>
      </c>
      <c r="C69" s="120" t="s">
        <v>990</v>
      </c>
      <c r="D69" s="117">
        <v>1681</v>
      </c>
      <c r="E69" s="117">
        <f>D69</f>
        <v>1681</v>
      </c>
      <c r="F69" s="117" t="e">
        <v>#VALUE!</v>
      </c>
      <c r="G69" s="117" t="e">
        <f>F69-D69</f>
        <v>#VALUE!</v>
      </c>
      <c r="H69" s="117" t="e">
        <f>F69-E69</f>
        <v>#VALUE!</v>
      </c>
      <c r="I69" s="45"/>
      <c r="J69" s="135"/>
      <c r="O69" s="128">
        <v>1637.26</v>
      </c>
      <c r="P69" s="129" t="e">
        <f>F69-O69</f>
        <v>#VALUE!</v>
      </c>
      <c r="Q69" s="130" t="e">
        <f>P69/O69</f>
        <v>#VALUE!</v>
      </c>
    </row>
    <row r="70" spans="1:17" x14ac:dyDescent="0.25">
      <c r="A70" s="120" t="s">
        <v>88</v>
      </c>
      <c r="B70" s="120" t="s">
        <v>757</v>
      </c>
      <c r="C70" s="120" t="s">
        <v>352</v>
      </c>
      <c r="D70" s="117">
        <v>1681</v>
      </c>
      <c r="E70" s="117">
        <f>D70</f>
        <v>1681</v>
      </c>
      <c r="F70" s="117" t="e">
        <v>#VALUE!</v>
      </c>
      <c r="G70" s="117" t="e">
        <f>F70-D70</f>
        <v>#VALUE!</v>
      </c>
      <c r="H70" s="117" t="e">
        <f>F70-E70</f>
        <v>#VALUE!</v>
      </c>
      <c r="I70" s="45"/>
      <c r="J70" s="135"/>
      <c r="O70" s="128">
        <v>997.08</v>
      </c>
      <c r="P70" s="129" t="e">
        <f>F70-O70</f>
        <v>#VALUE!</v>
      </c>
      <c r="Q70" s="130" t="e">
        <f>P70/O70</f>
        <v>#VALUE!</v>
      </c>
    </row>
    <row r="71" spans="1:17" x14ac:dyDescent="0.25">
      <c r="A71" s="120" t="s">
        <v>88</v>
      </c>
      <c r="B71" s="120" t="s">
        <v>757</v>
      </c>
      <c r="C71" s="120" t="s">
        <v>1008</v>
      </c>
      <c r="D71" s="117">
        <v>1417</v>
      </c>
      <c r="E71" s="117">
        <f>D71</f>
        <v>1417</v>
      </c>
      <c r="F71" s="117" t="e">
        <v>#VALUE!</v>
      </c>
      <c r="G71" s="117" t="e">
        <f>F71-D71</f>
        <v>#VALUE!</v>
      </c>
      <c r="H71" s="117" t="e">
        <f>F71-E71</f>
        <v>#VALUE!</v>
      </c>
      <c r="I71" s="45"/>
      <c r="J71" s="135"/>
      <c r="O71" s="128">
        <v>1263.06</v>
      </c>
      <c r="P71" s="129" t="e">
        <f>F71-O71</f>
        <v>#VALUE!</v>
      </c>
      <c r="Q71" s="130" t="e">
        <f>P71/O71</f>
        <v>#VALUE!</v>
      </c>
    </row>
    <row r="72" spans="1:17" x14ac:dyDescent="0.25">
      <c r="A72" s="120" t="s">
        <v>88</v>
      </c>
      <c r="B72" s="120" t="s">
        <v>757</v>
      </c>
      <c r="C72" s="120" t="s">
        <v>1212</v>
      </c>
      <c r="D72" s="117">
        <v>5963</v>
      </c>
      <c r="E72" s="117">
        <f>D72</f>
        <v>5963</v>
      </c>
      <c r="F72" s="117" t="e">
        <v>#VALUE!</v>
      </c>
      <c r="G72" s="117" t="e">
        <f>F72-D72</f>
        <v>#VALUE!</v>
      </c>
      <c r="H72" s="117" t="e">
        <f>F72-E72</f>
        <v>#VALUE!</v>
      </c>
      <c r="I72" s="45"/>
      <c r="J72" s="135"/>
      <c r="O72" s="128">
        <v>10898.03</v>
      </c>
      <c r="P72" s="129" t="e">
        <f>F72-O72</f>
        <v>#VALUE!</v>
      </c>
      <c r="Q72" s="130" t="e">
        <f>P72/O72</f>
        <v>#VALUE!</v>
      </c>
    </row>
    <row r="73" spans="1:17" x14ac:dyDescent="0.25">
      <c r="A73" s="120" t="s">
        <v>88</v>
      </c>
      <c r="B73" s="120" t="s">
        <v>757</v>
      </c>
      <c r="C73" s="120" t="s">
        <v>282</v>
      </c>
      <c r="D73" s="117"/>
      <c r="E73" s="117"/>
      <c r="F73" s="117" t="e">
        <v>#VALUE!</v>
      </c>
      <c r="G73" s="117" t="e">
        <f>F73-D73</f>
        <v>#VALUE!</v>
      </c>
      <c r="H73" s="117" t="e">
        <f t="shared" ref="H73:H96" si="9">F73-E73</f>
        <v>#VALUE!</v>
      </c>
      <c r="I73" s="45"/>
      <c r="J73" s="135"/>
      <c r="O73" s="128"/>
      <c r="P73" s="129"/>
      <c r="Q73" s="130"/>
    </row>
    <row r="74" spans="1:17" x14ac:dyDescent="0.25">
      <c r="A74" s="120" t="s">
        <v>88</v>
      </c>
      <c r="B74" s="120" t="s">
        <v>757</v>
      </c>
      <c r="C74" s="120" t="s">
        <v>1309</v>
      </c>
      <c r="D74" s="117">
        <v>25740</v>
      </c>
      <c r="E74" s="117">
        <f>D74</f>
        <v>25740</v>
      </c>
      <c r="F74" s="117" t="e">
        <v>#VALUE!</v>
      </c>
      <c r="G74" s="117" t="e">
        <f t="shared" ref="G74:G96" si="10">F74-D74</f>
        <v>#VALUE!</v>
      </c>
      <c r="H74" s="117" t="e">
        <f t="shared" si="9"/>
        <v>#VALUE!</v>
      </c>
      <c r="I74" s="45"/>
      <c r="J74" s="135"/>
      <c r="O74" s="128">
        <v>12218.17</v>
      </c>
      <c r="P74" s="129" t="e">
        <f>F74-O74</f>
        <v>#VALUE!</v>
      </c>
      <c r="Q74" s="130" t="e">
        <f>P74/O74</f>
        <v>#VALUE!</v>
      </c>
    </row>
    <row r="75" spans="1:17" x14ac:dyDescent="0.25">
      <c r="A75" s="120" t="s">
        <v>88</v>
      </c>
      <c r="B75" s="120" t="s">
        <v>757</v>
      </c>
      <c r="C75" s="120" t="s">
        <v>1307</v>
      </c>
      <c r="D75" s="117"/>
      <c r="E75" s="117"/>
      <c r="F75" s="117" t="e">
        <v>#VALUE!</v>
      </c>
      <c r="G75" s="117" t="e">
        <f t="shared" si="10"/>
        <v>#VALUE!</v>
      </c>
      <c r="H75" s="117" t="e">
        <f t="shared" si="9"/>
        <v>#VALUE!</v>
      </c>
      <c r="I75" s="45"/>
      <c r="J75" s="135"/>
      <c r="O75" s="128">
        <v>6687.92</v>
      </c>
      <c r="P75" s="129" t="e">
        <f>F75-O75</f>
        <v>#VALUE!</v>
      </c>
      <c r="Q75" s="130" t="e">
        <f>P75/O75</f>
        <v>#VALUE!</v>
      </c>
    </row>
    <row r="76" spans="1:17" x14ac:dyDescent="0.25">
      <c r="A76" s="120" t="s">
        <v>88</v>
      </c>
      <c r="B76" s="120" t="s">
        <v>757</v>
      </c>
      <c r="C76" s="120" t="s">
        <v>1377</v>
      </c>
      <c r="D76" s="117"/>
      <c r="E76" s="117"/>
      <c r="F76" s="117" t="e">
        <v>#VALUE!</v>
      </c>
      <c r="G76" s="117" t="e">
        <f t="shared" si="10"/>
        <v>#VALUE!</v>
      </c>
      <c r="H76" s="117" t="e">
        <f t="shared" si="9"/>
        <v>#VALUE!</v>
      </c>
      <c r="I76" s="45"/>
      <c r="J76" s="135"/>
      <c r="O76" s="128">
        <v>2127.77</v>
      </c>
      <c r="P76" s="129" t="e">
        <f>F76-O76</f>
        <v>#VALUE!</v>
      </c>
      <c r="Q76" s="130" t="e">
        <f>P76/O76</f>
        <v>#VALUE!</v>
      </c>
    </row>
    <row r="77" spans="1:17" x14ac:dyDescent="0.25">
      <c r="A77" s="120" t="s">
        <v>88</v>
      </c>
      <c r="B77" s="120" t="s">
        <v>757</v>
      </c>
      <c r="C77" s="120" t="s">
        <v>1543</v>
      </c>
      <c r="D77" s="117"/>
      <c r="E77" s="117"/>
      <c r="F77" s="117" t="e">
        <v>#VALUE!</v>
      </c>
      <c r="G77" s="117" t="e">
        <f t="shared" si="10"/>
        <v>#VALUE!</v>
      </c>
      <c r="H77" s="117" t="e">
        <f t="shared" si="9"/>
        <v>#VALUE!</v>
      </c>
      <c r="I77" s="45"/>
      <c r="J77" s="135"/>
      <c r="O77" s="128"/>
      <c r="P77" s="129"/>
      <c r="Q77" s="130"/>
    </row>
    <row r="78" spans="1:17" x14ac:dyDescent="0.25">
      <c r="A78" s="120" t="s">
        <v>88</v>
      </c>
      <c r="B78" s="120" t="s">
        <v>757</v>
      </c>
      <c r="C78" s="120" t="s">
        <v>945</v>
      </c>
      <c r="D78" s="117">
        <v>4203</v>
      </c>
      <c r="E78" s="117">
        <f>D78</f>
        <v>4203</v>
      </c>
      <c r="F78" s="117" t="e">
        <v>#VALUE!</v>
      </c>
      <c r="G78" s="117" t="e">
        <f t="shared" si="10"/>
        <v>#VALUE!</v>
      </c>
      <c r="H78" s="117" t="e">
        <f t="shared" si="9"/>
        <v>#VALUE!</v>
      </c>
      <c r="I78" s="45"/>
      <c r="J78" s="135"/>
      <c r="O78" s="128">
        <v>4935.5600000000004</v>
      </c>
      <c r="P78" s="129" t="e">
        <f t="shared" ref="P78:P84" si="11">F78-O78</f>
        <v>#VALUE!</v>
      </c>
      <c r="Q78" s="130" t="e">
        <f t="shared" ref="Q78:Q84" si="12">P78/O78</f>
        <v>#VALUE!</v>
      </c>
    </row>
    <row r="79" spans="1:17" x14ac:dyDescent="0.25">
      <c r="A79" s="120" t="s">
        <v>88</v>
      </c>
      <c r="B79" s="120" t="s">
        <v>757</v>
      </c>
      <c r="C79" s="120" t="s">
        <v>939</v>
      </c>
      <c r="D79" s="117">
        <v>443</v>
      </c>
      <c r="E79" s="117">
        <f>D79</f>
        <v>443</v>
      </c>
      <c r="F79" s="117" t="e">
        <v>#VALUE!</v>
      </c>
      <c r="G79" s="117" t="e">
        <f t="shared" si="10"/>
        <v>#VALUE!</v>
      </c>
      <c r="H79" s="117" t="e">
        <f t="shared" si="9"/>
        <v>#VALUE!</v>
      </c>
      <c r="I79" s="45"/>
      <c r="J79" s="135"/>
      <c r="O79" s="128">
        <v>550</v>
      </c>
      <c r="P79" s="129" t="e">
        <f t="shared" si="11"/>
        <v>#VALUE!</v>
      </c>
      <c r="Q79" s="130" t="e">
        <f t="shared" si="12"/>
        <v>#VALUE!</v>
      </c>
    </row>
    <row r="80" spans="1:17" x14ac:dyDescent="0.25">
      <c r="A80" s="120" t="s">
        <v>88</v>
      </c>
      <c r="B80" s="120" t="s">
        <v>757</v>
      </c>
      <c r="C80" s="120" t="s">
        <v>1286</v>
      </c>
      <c r="D80" s="117">
        <v>5643</v>
      </c>
      <c r="E80" s="117">
        <f>D80</f>
        <v>5643</v>
      </c>
      <c r="F80" s="117" t="e">
        <v>#VALUE!</v>
      </c>
      <c r="G80" s="117" t="e">
        <f t="shared" si="10"/>
        <v>#VALUE!</v>
      </c>
      <c r="H80" s="117" t="e">
        <f t="shared" si="9"/>
        <v>#VALUE!</v>
      </c>
      <c r="I80" s="45"/>
      <c r="J80" s="135"/>
      <c r="O80" s="128">
        <v>3426.34</v>
      </c>
      <c r="P80" s="129" t="e">
        <f t="shared" si="11"/>
        <v>#VALUE!</v>
      </c>
      <c r="Q80" s="130" t="e">
        <f t="shared" si="12"/>
        <v>#VALUE!</v>
      </c>
    </row>
    <row r="81" spans="1:17" x14ac:dyDescent="0.25">
      <c r="A81" s="120" t="s">
        <v>88</v>
      </c>
      <c r="B81" s="120" t="s">
        <v>757</v>
      </c>
      <c r="C81" s="120" t="s">
        <v>1066</v>
      </c>
      <c r="D81" s="117">
        <v>1051</v>
      </c>
      <c r="E81" s="117">
        <f>D81</f>
        <v>1051</v>
      </c>
      <c r="F81" s="117" t="e">
        <v>#VALUE!</v>
      </c>
      <c r="G81" s="117" t="e">
        <f t="shared" si="10"/>
        <v>#VALUE!</v>
      </c>
      <c r="H81" s="117" t="e">
        <f t="shared" si="9"/>
        <v>#VALUE!</v>
      </c>
      <c r="I81" s="45"/>
      <c r="J81" s="135"/>
      <c r="O81" s="128">
        <v>841.25</v>
      </c>
      <c r="P81" s="129" t="e">
        <f t="shared" si="11"/>
        <v>#VALUE!</v>
      </c>
      <c r="Q81" s="130" t="e">
        <f t="shared" si="12"/>
        <v>#VALUE!</v>
      </c>
    </row>
    <row r="82" spans="1:17" x14ac:dyDescent="0.25">
      <c r="A82" s="120" t="s">
        <v>88</v>
      </c>
      <c r="B82" s="120" t="s">
        <v>757</v>
      </c>
      <c r="C82" s="120" t="s">
        <v>1545</v>
      </c>
      <c r="D82" s="117">
        <v>998</v>
      </c>
      <c r="E82" s="117">
        <f>D82</f>
        <v>998</v>
      </c>
      <c r="F82" s="117" t="e">
        <v>#VALUE!</v>
      </c>
      <c r="G82" s="117" t="e">
        <f t="shared" si="10"/>
        <v>#VALUE!</v>
      </c>
      <c r="H82" s="117" t="e">
        <f t="shared" si="9"/>
        <v>#VALUE!</v>
      </c>
      <c r="I82" s="45"/>
      <c r="J82" s="135"/>
      <c r="O82" s="128">
        <v>70</v>
      </c>
      <c r="P82" s="129" t="e">
        <f t="shared" si="11"/>
        <v>#VALUE!</v>
      </c>
      <c r="Q82" s="130" t="e">
        <f t="shared" si="12"/>
        <v>#VALUE!</v>
      </c>
    </row>
    <row r="83" spans="1:17" x14ac:dyDescent="0.25">
      <c r="A83" s="120" t="s">
        <v>88</v>
      </c>
      <c r="B83" s="120" t="s">
        <v>757</v>
      </c>
      <c r="C83" s="120" t="s">
        <v>1087</v>
      </c>
      <c r="D83" s="117"/>
      <c r="E83" s="117"/>
      <c r="F83" s="117" t="e">
        <v>#VALUE!</v>
      </c>
      <c r="G83" s="117" t="e">
        <f t="shared" si="10"/>
        <v>#VALUE!</v>
      </c>
      <c r="H83" s="117" t="e">
        <f t="shared" si="9"/>
        <v>#VALUE!</v>
      </c>
      <c r="I83" s="45"/>
      <c r="J83" s="135"/>
      <c r="O83" s="128">
        <v>0</v>
      </c>
      <c r="P83" s="129" t="e">
        <f t="shared" si="11"/>
        <v>#VALUE!</v>
      </c>
      <c r="Q83" s="130" t="e">
        <f t="shared" si="12"/>
        <v>#VALUE!</v>
      </c>
    </row>
    <row r="84" spans="1:17" x14ac:dyDescent="0.25">
      <c r="A84" s="120" t="s">
        <v>88</v>
      </c>
      <c r="B84" s="120" t="s">
        <v>757</v>
      </c>
      <c r="C84" s="120" t="s">
        <v>2174</v>
      </c>
      <c r="D84" s="117">
        <v>1357</v>
      </c>
      <c r="E84" s="117">
        <f>D84</f>
        <v>1357</v>
      </c>
      <c r="F84" s="117" t="e">
        <v>#VALUE!</v>
      </c>
      <c r="G84" s="117" t="e">
        <f t="shared" si="10"/>
        <v>#VALUE!</v>
      </c>
      <c r="H84" s="117" t="e">
        <f t="shared" si="9"/>
        <v>#VALUE!</v>
      </c>
      <c r="I84" s="45"/>
      <c r="J84" s="135"/>
      <c r="O84" s="128">
        <v>1699.89</v>
      </c>
      <c r="P84" s="129" t="e">
        <f t="shared" si="11"/>
        <v>#VALUE!</v>
      </c>
      <c r="Q84" s="130" t="e">
        <f t="shared" si="12"/>
        <v>#VALUE!</v>
      </c>
    </row>
    <row r="85" spans="1:17" x14ac:dyDescent="0.25">
      <c r="A85" s="120" t="s">
        <v>88</v>
      </c>
      <c r="B85" s="120" t="s">
        <v>757</v>
      </c>
      <c r="C85" s="120" t="s">
        <v>1518</v>
      </c>
      <c r="D85" s="117"/>
      <c r="E85" s="117"/>
      <c r="F85" s="117" t="e">
        <v>#VALUE!</v>
      </c>
      <c r="G85" s="117" t="e">
        <f t="shared" si="10"/>
        <v>#VALUE!</v>
      </c>
      <c r="H85" s="117" t="e">
        <f t="shared" si="9"/>
        <v>#VALUE!</v>
      </c>
      <c r="I85" s="45"/>
      <c r="J85" s="135"/>
      <c r="O85" s="128"/>
      <c r="P85" s="129"/>
      <c r="Q85" s="130"/>
    </row>
    <row r="86" spans="1:17" x14ac:dyDescent="0.25">
      <c r="A86" s="120" t="s">
        <v>88</v>
      </c>
      <c r="B86" s="120" t="s">
        <v>757</v>
      </c>
      <c r="C86" s="120" t="s">
        <v>819</v>
      </c>
      <c r="D86" s="117">
        <v>263</v>
      </c>
      <c r="E86" s="117">
        <f>D86</f>
        <v>263</v>
      </c>
      <c r="F86" s="117" t="e">
        <v>#VALUE!</v>
      </c>
      <c r="G86" s="117" t="e">
        <f t="shared" si="10"/>
        <v>#VALUE!</v>
      </c>
      <c r="H86" s="117" t="e">
        <f t="shared" si="9"/>
        <v>#VALUE!</v>
      </c>
      <c r="I86" s="45"/>
      <c r="J86" s="135"/>
      <c r="O86" s="128">
        <v>287.29000000000002</v>
      </c>
      <c r="P86" s="129" t="e">
        <f>F86-O86</f>
        <v>#VALUE!</v>
      </c>
      <c r="Q86" s="130" t="e">
        <f>P86/O86</f>
        <v>#VALUE!</v>
      </c>
    </row>
    <row r="87" spans="1:17" x14ac:dyDescent="0.25">
      <c r="A87" s="120" t="s">
        <v>88</v>
      </c>
      <c r="B87" s="120" t="s">
        <v>757</v>
      </c>
      <c r="C87" s="120" t="s">
        <v>1566</v>
      </c>
      <c r="D87" s="117">
        <v>4203</v>
      </c>
      <c r="E87" s="117">
        <f>D87</f>
        <v>4203</v>
      </c>
      <c r="F87" s="117" t="e">
        <v>#VALUE!</v>
      </c>
      <c r="G87" s="117" t="e">
        <f t="shared" si="10"/>
        <v>#VALUE!</v>
      </c>
      <c r="H87" s="117" t="e">
        <f t="shared" si="9"/>
        <v>#VALUE!</v>
      </c>
      <c r="I87" s="45"/>
      <c r="J87" s="135"/>
      <c r="O87" s="128">
        <v>0</v>
      </c>
      <c r="P87" s="129" t="e">
        <f>F87-O87</f>
        <v>#VALUE!</v>
      </c>
      <c r="Q87" s="130" t="e">
        <f>P87/O87</f>
        <v>#VALUE!</v>
      </c>
    </row>
    <row r="88" spans="1:17" x14ac:dyDescent="0.25">
      <c r="A88" s="120" t="s">
        <v>88</v>
      </c>
      <c r="B88" s="120" t="s">
        <v>757</v>
      </c>
      <c r="C88" s="120" t="s">
        <v>1561</v>
      </c>
      <c r="D88" s="117">
        <v>13133</v>
      </c>
      <c r="E88" s="117">
        <v>3500</v>
      </c>
      <c r="F88" s="117" t="e">
        <v>#VALUE!</v>
      </c>
      <c r="G88" s="117" t="e">
        <f t="shared" si="10"/>
        <v>#VALUE!</v>
      </c>
      <c r="H88" s="117" t="e">
        <f t="shared" si="9"/>
        <v>#VALUE!</v>
      </c>
      <c r="I88" s="45"/>
      <c r="J88" s="135"/>
      <c r="O88" s="128">
        <v>12341.71</v>
      </c>
      <c r="P88" s="129" t="e">
        <f>F88-O88</f>
        <v>#VALUE!</v>
      </c>
      <c r="Q88" s="130" t="e">
        <f>P88/O88</f>
        <v>#VALUE!</v>
      </c>
    </row>
    <row r="89" spans="1:17" x14ac:dyDescent="0.25">
      <c r="A89" s="120" t="s">
        <v>88</v>
      </c>
      <c r="B89" s="120" t="s">
        <v>757</v>
      </c>
      <c r="C89" s="120" t="s">
        <v>956</v>
      </c>
      <c r="D89" s="117">
        <v>378</v>
      </c>
      <c r="E89" s="117">
        <f>D89</f>
        <v>378</v>
      </c>
      <c r="F89" s="117" t="e">
        <v>#VALUE!</v>
      </c>
      <c r="G89" s="117" t="e">
        <f t="shared" si="10"/>
        <v>#VALUE!</v>
      </c>
      <c r="H89" s="117" t="e">
        <f t="shared" si="9"/>
        <v>#VALUE!</v>
      </c>
      <c r="I89" s="45"/>
      <c r="J89" s="135"/>
      <c r="O89" s="128">
        <v>0</v>
      </c>
      <c r="P89" s="129" t="e">
        <f>F89-O89</f>
        <v>#VALUE!</v>
      </c>
      <c r="Q89" s="130" t="e">
        <f>P89/O89</f>
        <v>#VALUE!</v>
      </c>
    </row>
    <row r="90" spans="1:17" x14ac:dyDescent="0.25">
      <c r="A90" s="120" t="s">
        <v>88</v>
      </c>
      <c r="B90" s="120" t="s">
        <v>757</v>
      </c>
      <c r="C90" s="120" t="s">
        <v>2175</v>
      </c>
      <c r="D90" s="117"/>
      <c r="E90" s="117"/>
      <c r="F90" s="117" t="e">
        <v>#VALUE!</v>
      </c>
      <c r="G90" s="117" t="e">
        <f t="shared" si="10"/>
        <v>#VALUE!</v>
      </c>
      <c r="H90" s="117" t="e">
        <f t="shared" si="9"/>
        <v>#VALUE!</v>
      </c>
      <c r="I90" s="45"/>
      <c r="J90" s="135"/>
      <c r="O90" s="128">
        <v>0</v>
      </c>
      <c r="P90" s="129" t="e">
        <f>F90-O90</f>
        <v>#VALUE!</v>
      </c>
      <c r="Q90" s="130" t="e">
        <f>P90/O90</f>
        <v>#VALUE!</v>
      </c>
    </row>
    <row r="91" spans="1:17" x14ac:dyDescent="0.25">
      <c r="A91" s="120" t="s">
        <v>88</v>
      </c>
      <c r="B91" s="120" t="s">
        <v>757</v>
      </c>
      <c r="C91" s="120" t="s">
        <v>2176</v>
      </c>
      <c r="D91" s="117">
        <v>250</v>
      </c>
      <c r="E91" s="117">
        <f>D91</f>
        <v>250</v>
      </c>
      <c r="F91" s="117" t="e">
        <v>#VALUE!</v>
      </c>
      <c r="G91" s="117" t="e">
        <f t="shared" si="10"/>
        <v>#VALUE!</v>
      </c>
      <c r="H91" s="117" t="e">
        <f t="shared" si="9"/>
        <v>#VALUE!</v>
      </c>
      <c r="I91" s="45"/>
      <c r="J91" s="135"/>
      <c r="O91" s="128"/>
      <c r="P91" s="129"/>
      <c r="Q91" s="130"/>
    </row>
    <row r="92" spans="1:17" x14ac:dyDescent="0.25">
      <c r="A92" s="120" t="s">
        <v>88</v>
      </c>
      <c r="B92" s="120" t="s">
        <v>757</v>
      </c>
      <c r="C92" s="13" t="s">
        <v>1570</v>
      </c>
      <c r="D92" s="117"/>
      <c r="E92" s="117"/>
      <c r="F92" s="117" t="e">
        <v>#VALUE!</v>
      </c>
      <c r="G92" s="117" t="e">
        <f>F92-D92</f>
        <v>#VALUE!</v>
      </c>
      <c r="H92" s="117" t="e">
        <f t="shared" si="9"/>
        <v>#VALUE!</v>
      </c>
      <c r="I92" s="45"/>
      <c r="J92" s="135"/>
      <c r="O92" s="128">
        <v>5280</v>
      </c>
      <c r="P92" s="129" t="e">
        <f>F92-O92</f>
        <v>#VALUE!</v>
      </c>
      <c r="Q92" s="130" t="e">
        <f>P92/O92</f>
        <v>#VALUE!</v>
      </c>
    </row>
    <row r="93" spans="1:17" x14ac:dyDescent="0.25">
      <c r="A93" s="120" t="s">
        <v>88</v>
      </c>
      <c r="B93" s="120" t="s">
        <v>757</v>
      </c>
      <c r="C93" s="13" t="s">
        <v>1576</v>
      </c>
      <c r="D93" s="117"/>
      <c r="E93" s="117"/>
      <c r="F93" s="117" t="e">
        <v>#VALUE!</v>
      </c>
      <c r="G93" s="117" t="e">
        <f>F93-D93</f>
        <v>#VALUE!</v>
      </c>
      <c r="H93" s="117" t="e">
        <f t="shared" si="9"/>
        <v>#VALUE!</v>
      </c>
      <c r="I93" s="45"/>
      <c r="J93" s="135"/>
      <c r="O93" s="128">
        <v>5280</v>
      </c>
      <c r="P93" s="129" t="e">
        <f>F93-O93</f>
        <v>#VALUE!</v>
      </c>
      <c r="Q93" s="130" t="e">
        <f>P93/O93</f>
        <v>#VALUE!</v>
      </c>
    </row>
    <row r="94" spans="1:17" x14ac:dyDescent="0.25">
      <c r="A94" s="120" t="s">
        <v>88</v>
      </c>
      <c r="B94" s="120" t="s">
        <v>757</v>
      </c>
      <c r="C94" s="120" t="s">
        <v>2237</v>
      </c>
      <c r="D94" s="117">
        <v>31500</v>
      </c>
      <c r="E94" s="117">
        <v>33417</v>
      </c>
      <c r="F94" s="117" t="e">
        <v>#VALUE!</v>
      </c>
      <c r="G94" s="117" t="e">
        <f>F94-D94</f>
        <v>#VALUE!</v>
      </c>
      <c r="H94" s="117" t="e">
        <f t="shared" si="9"/>
        <v>#VALUE!</v>
      </c>
      <c r="I94" s="45"/>
      <c r="J94" s="135"/>
      <c r="O94" s="128">
        <v>5280</v>
      </c>
      <c r="P94" s="129" t="e">
        <f>F94-O94</f>
        <v>#VALUE!</v>
      </c>
      <c r="Q94" s="130" t="e">
        <f>P94/O94</f>
        <v>#VALUE!</v>
      </c>
    </row>
    <row r="95" spans="1:17" x14ac:dyDescent="0.25">
      <c r="A95" s="120" t="s">
        <v>88</v>
      </c>
      <c r="B95" s="120" t="s">
        <v>757</v>
      </c>
      <c r="C95" s="120" t="s">
        <v>2238</v>
      </c>
      <c r="D95" s="117">
        <v>7350</v>
      </c>
      <c r="E95" s="117">
        <v>9158</v>
      </c>
      <c r="F95" s="117" t="e">
        <v>#VALUE!</v>
      </c>
      <c r="G95" s="117" t="e">
        <f t="shared" si="10"/>
        <v>#VALUE!</v>
      </c>
      <c r="H95" s="117" t="e">
        <f t="shared" si="9"/>
        <v>#VALUE!</v>
      </c>
      <c r="I95" s="45"/>
      <c r="J95" s="135"/>
      <c r="O95" s="128"/>
      <c r="P95" s="129"/>
      <c r="Q95" s="130"/>
    </row>
    <row r="96" spans="1:17" x14ac:dyDescent="0.25">
      <c r="A96" s="120" t="s">
        <v>88</v>
      </c>
      <c r="B96" s="120" t="s">
        <v>757</v>
      </c>
      <c r="C96" s="120" t="s">
        <v>290</v>
      </c>
      <c r="D96" s="117"/>
      <c r="E96" s="117"/>
      <c r="F96" s="117" t="e">
        <v>#VALUE!</v>
      </c>
      <c r="G96" s="117" t="e">
        <f t="shared" si="10"/>
        <v>#VALUE!</v>
      </c>
      <c r="H96" s="117" t="e">
        <f t="shared" si="9"/>
        <v>#VALUE!</v>
      </c>
      <c r="I96" s="45"/>
      <c r="J96" s="135"/>
      <c r="O96" s="128"/>
      <c r="P96" s="129"/>
      <c r="Q96" s="130"/>
    </row>
    <row r="97" spans="1:17" ht="13" x14ac:dyDescent="0.3">
      <c r="C97" s="121" t="s">
        <v>2168</v>
      </c>
      <c r="D97" s="122">
        <f>SUM(D69:D96)</f>
        <v>107254</v>
      </c>
      <c r="E97" s="122">
        <f>SUM(E69:E96)</f>
        <v>101346</v>
      </c>
      <c r="F97" s="122" t="e">
        <f>SUM(F69:F96)</f>
        <v>#VALUE!</v>
      </c>
      <c r="G97" s="122" t="e">
        <f>SUM(G69:G96)</f>
        <v>#VALUE!</v>
      </c>
      <c r="H97" s="122" t="e">
        <f>SUM(H69:H96)</f>
        <v>#VALUE!</v>
      </c>
      <c r="I97" s="123"/>
      <c r="J97" s="135"/>
      <c r="O97" s="131">
        <v>59981.33</v>
      </c>
      <c r="P97" s="129" t="e">
        <f>F97-O97</f>
        <v>#VALUE!</v>
      </c>
      <c r="Q97" s="130" t="e">
        <f>P97/O97</f>
        <v>#VALUE!</v>
      </c>
    </row>
    <row r="98" spans="1:17" x14ac:dyDescent="0.25">
      <c r="D98" s="117"/>
      <c r="E98" s="117"/>
      <c r="F98" s="117"/>
      <c r="G98" s="117"/>
      <c r="H98" s="117"/>
      <c r="I98" s="45"/>
      <c r="J98" s="135"/>
      <c r="O98" s="128"/>
      <c r="P98" s="119"/>
      <c r="Q98" s="119"/>
    </row>
    <row r="99" spans="1:17" x14ac:dyDescent="0.25">
      <c r="A99" s="120" t="s">
        <v>88</v>
      </c>
      <c r="B99" s="120" t="s">
        <v>1075</v>
      </c>
      <c r="C99" s="120" t="s">
        <v>1433</v>
      </c>
      <c r="D99" s="117">
        <v>17014</v>
      </c>
      <c r="E99" s="117">
        <f>D99</f>
        <v>17014</v>
      </c>
      <c r="F99" s="117" t="e">
        <v>#VALUE!</v>
      </c>
      <c r="G99" s="117" t="e">
        <f>F99-D99</f>
        <v>#VALUE!</v>
      </c>
      <c r="H99" s="117" t="e">
        <f>F99-E99</f>
        <v>#VALUE!</v>
      </c>
      <c r="I99" s="45"/>
      <c r="J99" s="135"/>
      <c r="O99" s="128">
        <v>9023.48</v>
      </c>
      <c r="P99" s="129" t="e">
        <f>F99-O99</f>
        <v>#VALUE!</v>
      </c>
      <c r="Q99" s="130" t="e">
        <f>P99/O99</f>
        <v>#VALUE!</v>
      </c>
    </row>
    <row r="100" spans="1:17" x14ac:dyDescent="0.25">
      <c r="A100" s="120" t="s">
        <v>88</v>
      </c>
      <c r="B100" s="120" t="s">
        <v>1075</v>
      </c>
      <c r="C100" s="120" t="s">
        <v>1431</v>
      </c>
      <c r="D100" s="117">
        <v>33313</v>
      </c>
      <c r="E100" s="117">
        <v>33313</v>
      </c>
      <c r="F100" s="117" t="e">
        <v>#VALUE!</v>
      </c>
      <c r="G100" s="117" t="e">
        <f>F100-D100</f>
        <v>#VALUE!</v>
      </c>
      <c r="H100" s="117" t="e">
        <f>F100-E100</f>
        <v>#VALUE!</v>
      </c>
      <c r="I100" s="45"/>
      <c r="J100" s="135"/>
      <c r="O100" s="128">
        <v>30215.57</v>
      </c>
      <c r="P100" s="129" t="e">
        <f>F100-O100</f>
        <v>#VALUE!</v>
      </c>
      <c r="Q100" s="130" t="e">
        <f>P100/O100</f>
        <v>#VALUE!</v>
      </c>
    </row>
    <row r="101" spans="1:17" ht="13" x14ac:dyDescent="0.3">
      <c r="C101" s="121" t="s">
        <v>2179</v>
      </c>
      <c r="D101" s="122">
        <f>SUM(D99:D100)</f>
        <v>50327</v>
      </c>
      <c r="E101" s="122">
        <f>SUM(E99:E100)</f>
        <v>50327</v>
      </c>
      <c r="F101" s="122" t="e">
        <f>SUM(F99:F100)</f>
        <v>#VALUE!</v>
      </c>
      <c r="G101" s="122" t="e">
        <f>SUM(G99:G100)</f>
        <v>#VALUE!</v>
      </c>
      <c r="H101" s="122" t="e">
        <f>SUM(H99:H100)</f>
        <v>#VALUE!</v>
      </c>
      <c r="I101" s="123"/>
      <c r="J101" s="135"/>
      <c r="O101" s="131">
        <v>39239.050000000003</v>
      </c>
      <c r="P101" s="129" t="e">
        <f>F101-O101</f>
        <v>#VALUE!</v>
      </c>
      <c r="Q101" s="130" t="e">
        <f>P101/O101</f>
        <v>#VALUE!</v>
      </c>
    </row>
    <row r="102" spans="1:17" x14ac:dyDescent="0.25">
      <c r="D102" s="117"/>
      <c r="E102" s="117"/>
      <c r="F102" s="117"/>
      <c r="G102" s="117"/>
      <c r="H102" s="117"/>
      <c r="I102" s="45"/>
      <c r="J102" s="135"/>
      <c r="O102" s="128"/>
      <c r="P102" s="119"/>
      <c r="Q102" s="119"/>
    </row>
    <row r="103" spans="1:17" x14ac:dyDescent="0.25">
      <c r="A103" s="120" t="s">
        <v>88</v>
      </c>
      <c r="B103" s="120" t="s">
        <v>781</v>
      </c>
      <c r="C103" s="120" t="s">
        <v>781</v>
      </c>
      <c r="D103" s="117">
        <v>62629</v>
      </c>
      <c r="E103" s="117">
        <v>67375</v>
      </c>
      <c r="F103" s="117" t="e">
        <v>#VALUE!</v>
      </c>
      <c r="G103" s="117" t="e">
        <f>F103-D103</f>
        <v>#VALUE!</v>
      </c>
      <c r="H103" s="117" t="e">
        <f>F103-E103</f>
        <v>#VALUE!</v>
      </c>
      <c r="I103" s="45"/>
      <c r="J103" s="135"/>
      <c r="O103" s="128">
        <v>41880.94</v>
      </c>
      <c r="P103" s="129" t="e">
        <f>F103-O103</f>
        <v>#VALUE!</v>
      </c>
      <c r="Q103" s="130" t="e">
        <f>P103/O103</f>
        <v>#VALUE!</v>
      </c>
    </row>
    <row r="104" spans="1:17" ht="13" x14ac:dyDescent="0.3">
      <c r="C104" s="121" t="s">
        <v>2169</v>
      </c>
      <c r="D104" s="122">
        <f>SUM(D103)</f>
        <v>62629</v>
      </c>
      <c r="E104" s="122">
        <f>SUM(E103)</f>
        <v>67375</v>
      </c>
      <c r="F104" s="122" t="e">
        <f>SUM(F103)</f>
        <v>#VALUE!</v>
      </c>
      <c r="G104" s="122" t="e">
        <f>SUM(G103)</f>
        <v>#VALUE!</v>
      </c>
      <c r="H104" s="122" t="e">
        <f>SUM(H103)</f>
        <v>#VALUE!</v>
      </c>
      <c r="I104" s="123"/>
      <c r="J104" s="135"/>
      <c r="O104" s="131">
        <v>41880.94</v>
      </c>
      <c r="P104" s="129" t="e">
        <f>F104-O104</f>
        <v>#VALUE!</v>
      </c>
      <c r="Q104" s="130" t="e">
        <f>P104/O104</f>
        <v>#VALUE!</v>
      </c>
    </row>
    <row r="105" spans="1:17" x14ac:dyDescent="0.25">
      <c r="D105" s="117"/>
      <c r="E105" s="117"/>
      <c r="F105" s="117"/>
      <c r="G105" s="117"/>
      <c r="H105" s="117"/>
      <c r="I105" s="45"/>
      <c r="J105" s="135"/>
      <c r="O105" s="128"/>
      <c r="P105" s="119"/>
      <c r="Q105" s="119"/>
    </row>
    <row r="106" spans="1:17" x14ac:dyDescent="0.25">
      <c r="A106" s="120" t="s">
        <v>88</v>
      </c>
      <c r="B106" s="120" t="s">
        <v>2180</v>
      </c>
      <c r="C106" s="120" t="s">
        <v>282</v>
      </c>
      <c r="D106" s="117">
        <v>27000</v>
      </c>
      <c r="E106" s="117">
        <f>D106</f>
        <v>27000</v>
      </c>
      <c r="F106" s="117"/>
      <c r="G106" s="117">
        <f>F106-D106</f>
        <v>-27000</v>
      </c>
      <c r="H106" s="117">
        <f>F106-E106</f>
        <v>-27000</v>
      </c>
      <c r="I106" s="45"/>
      <c r="J106" s="135"/>
      <c r="O106" s="134">
        <v>6111.77</v>
      </c>
      <c r="P106" s="129">
        <f>F106-O106</f>
        <v>-6111.77</v>
      </c>
      <c r="Q106" s="130">
        <f>P106/O106</f>
        <v>-1</v>
      </c>
    </row>
    <row r="107" spans="1:17" x14ac:dyDescent="0.25">
      <c r="A107" s="120" t="s">
        <v>88</v>
      </c>
      <c r="B107" s="120" t="s">
        <v>2180</v>
      </c>
      <c r="C107" s="120" t="s">
        <v>1568</v>
      </c>
      <c r="D107" s="117"/>
      <c r="E107" s="117"/>
      <c r="F107" s="117" t="e">
        <v>#VALUE!</v>
      </c>
      <c r="G107" s="117" t="e">
        <f>F107-D107</f>
        <v>#VALUE!</v>
      </c>
      <c r="H107" s="117" t="e">
        <f>F107-E107</f>
        <v>#VALUE!</v>
      </c>
      <c r="I107" s="45"/>
      <c r="J107" s="135"/>
      <c r="O107" s="128">
        <v>0</v>
      </c>
      <c r="P107" s="129" t="e">
        <f>F107-O107</f>
        <v>#VALUE!</v>
      </c>
      <c r="Q107" s="130" t="e">
        <f>P107/O107</f>
        <v>#VALUE!</v>
      </c>
    </row>
    <row r="108" spans="1:17" x14ac:dyDescent="0.25">
      <c r="A108" s="120" t="s">
        <v>88</v>
      </c>
      <c r="B108" s="120" t="s">
        <v>2180</v>
      </c>
      <c r="C108" s="120" t="s">
        <v>2181</v>
      </c>
      <c r="D108" s="117">
        <v>20000</v>
      </c>
      <c r="E108" s="117">
        <f>D108</f>
        <v>20000</v>
      </c>
      <c r="F108" s="117" t="e">
        <v>#VALUE!</v>
      </c>
      <c r="G108" s="117" t="e">
        <f>F108-D108</f>
        <v>#VALUE!</v>
      </c>
      <c r="H108" s="117" t="e">
        <f>F108-E108</f>
        <v>#VALUE!</v>
      </c>
      <c r="I108" s="45"/>
      <c r="J108" s="135"/>
      <c r="O108" s="128">
        <v>2251</v>
      </c>
      <c r="P108" s="129" t="e">
        <f>F108-O108</f>
        <v>#VALUE!</v>
      </c>
      <c r="Q108" s="130" t="e">
        <f>P108/O108</f>
        <v>#VALUE!</v>
      </c>
    </row>
    <row r="109" spans="1:17" x14ac:dyDescent="0.25">
      <c r="A109" s="120" t="s">
        <v>88</v>
      </c>
      <c r="B109" s="120" t="s">
        <v>2180</v>
      </c>
      <c r="C109" s="120" t="s">
        <v>2182</v>
      </c>
      <c r="D109" s="117">
        <v>3500</v>
      </c>
      <c r="E109" s="117">
        <f>D109</f>
        <v>3500</v>
      </c>
      <c r="F109" s="117"/>
      <c r="G109" s="117"/>
      <c r="H109" s="117"/>
      <c r="I109" s="45"/>
      <c r="J109" s="135"/>
      <c r="O109" s="128"/>
      <c r="P109" s="129"/>
      <c r="Q109" s="130"/>
    </row>
    <row r="110" spans="1:17" x14ac:dyDescent="0.25">
      <c r="A110" s="120" t="s">
        <v>88</v>
      </c>
      <c r="B110" s="120" t="s">
        <v>2180</v>
      </c>
      <c r="C110" s="120" t="s">
        <v>2183</v>
      </c>
      <c r="D110" s="117"/>
      <c r="E110" s="117"/>
      <c r="F110" s="117" t="e">
        <v>#VALUE!</v>
      </c>
      <c r="G110" s="117" t="e">
        <f>F110-D110</f>
        <v>#VALUE!</v>
      </c>
      <c r="H110" s="117" t="e">
        <f>F110-E110</f>
        <v>#VALUE!</v>
      </c>
      <c r="I110" s="45"/>
      <c r="J110" s="135"/>
      <c r="O110" s="128">
        <v>0</v>
      </c>
      <c r="P110" s="129" t="e">
        <f>F110-O110</f>
        <v>#VALUE!</v>
      </c>
      <c r="Q110" s="130" t="e">
        <f>P110/O110</f>
        <v>#VALUE!</v>
      </c>
    </row>
    <row r="111" spans="1:17" ht="13" x14ac:dyDescent="0.3">
      <c r="C111" s="121" t="s">
        <v>2184</v>
      </c>
      <c r="D111" s="122">
        <f>SUM(D106:D110)</f>
        <v>50500</v>
      </c>
      <c r="E111" s="122">
        <f>SUM(E106:E110)</f>
        <v>50500</v>
      </c>
      <c r="F111" s="122" t="e">
        <f>SUM(F106:F110)</f>
        <v>#VALUE!</v>
      </c>
      <c r="G111" s="122" t="e">
        <f>SUM(G106:G110)</f>
        <v>#VALUE!</v>
      </c>
      <c r="H111" s="122" t="e">
        <f>SUM(H106:H110)</f>
        <v>#VALUE!</v>
      </c>
      <c r="I111" s="123"/>
      <c r="J111" s="135"/>
      <c r="O111" s="131">
        <v>13642.77</v>
      </c>
      <c r="P111" s="129" t="e">
        <f>F111-O111</f>
        <v>#VALUE!</v>
      </c>
      <c r="Q111" s="130" t="e">
        <f>P111/O111</f>
        <v>#VALUE!</v>
      </c>
    </row>
    <row r="112" spans="1:17" x14ac:dyDescent="0.25">
      <c r="D112" s="117"/>
      <c r="E112" s="117"/>
      <c r="F112" s="117"/>
      <c r="G112" s="117"/>
      <c r="H112" s="117"/>
      <c r="I112" s="45"/>
      <c r="J112" s="135"/>
      <c r="O112" s="128"/>
      <c r="P112" s="119"/>
      <c r="Q112" s="119"/>
    </row>
    <row r="113" spans="1:17" x14ac:dyDescent="0.25">
      <c r="A113" s="120" t="s">
        <v>88</v>
      </c>
      <c r="B113" s="120" t="s">
        <v>782</v>
      </c>
      <c r="C113" s="120" t="s">
        <v>784</v>
      </c>
      <c r="D113" s="117"/>
      <c r="E113" s="117"/>
      <c r="F113" s="117" t="e">
        <v>#VALUE!</v>
      </c>
      <c r="G113" s="117" t="e">
        <f>F113-D113</f>
        <v>#VALUE!</v>
      </c>
      <c r="H113" s="117" t="e">
        <f>F113-E113</f>
        <v>#VALUE!</v>
      </c>
      <c r="I113" s="45"/>
      <c r="J113" s="135"/>
      <c r="O113" s="128">
        <v>2576.2199999999998</v>
      </c>
      <c r="P113" s="129" t="e">
        <f>F113-O113</f>
        <v>#VALUE!</v>
      </c>
      <c r="Q113" s="130" t="e">
        <f>P113/O113</f>
        <v>#VALUE!</v>
      </c>
    </row>
    <row r="114" spans="1:17" x14ac:dyDescent="0.25">
      <c r="A114" s="120" t="s">
        <v>88</v>
      </c>
      <c r="B114" s="120" t="s">
        <v>782</v>
      </c>
      <c r="C114" s="120" t="s">
        <v>783</v>
      </c>
      <c r="D114" s="117"/>
      <c r="E114" s="117"/>
      <c r="F114" s="117" t="e">
        <v>#VALUE!</v>
      </c>
      <c r="G114" s="117" t="e">
        <f>F114-D114</f>
        <v>#VALUE!</v>
      </c>
      <c r="H114" s="117" t="e">
        <f>F114-E114</f>
        <v>#VALUE!</v>
      </c>
      <c r="I114" s="45"/>
      <c r="J114" s="135"/>
      <c r="O114" s="128">
        <v>8407.75</v>
      </c>
      <c r="P114" s="129" t="e">
        <f>F114-O114</f>
        <v>#VALUE!</v>
      </c>
      <c r="Q114" s="130" t="e">
        <f>P114/O114</f>
        <v>#VALUE!</v>
      </c>
    </row>
    <row r="115" spans="1:17" ht="13" x14ac:dyDescent="0.3">
      <c r="C115" s="121" t="s">
        <v>2170</v>
      </c>
      <c r="D115" s="122">
        <f>SUM(D113:D114)</f>
        <v>0</v>
      </c>
      <c r="E115" s="122">
        <f>SUM(E113:E114)</f>
        <v>0</v>
      </c>
      <c r="F115" s="122" t="e">
        <f>SUM(F113:F114)</f>
        <v>#VALUE!</v>
      </c>
      <c r="G115" s="122" t="e">
        <f>SUM(G113:G114)</f>
        <v>#VALUE!</v>
      </c>
      <c r="H115" s="122" t="e">
        <f>SUM(H113:H114)</f>
        <v>#VALUE!</v>
      </c>
      <c r="I115" s="123"/>
      <c r="J115" s="135"/>
      <c r="O115" s="131">
        <v>10983.97</v>
      </c>
      <c r="P115" s="129" t="e">
        <f>F115-O115</f>
        <v>#VALUE!</v>
      </c>
      <c r="Q115" s="130" t="e">
        <f>P115/O115</f>
        <v>#VALUE!</v>
      </c>
    </row>
    <row r="116" spans="1:17" x14ac:dyDescent="0.25">
      <c r="D116" s="117"/>
      <c r="E116" s="117"/>
      <c r="F116" s="117"/>
      <c r="G116" s="117"/>
      <c r="H116" s="117"/>
      <c r="I116" s="45"/>
      <c r="J116" s="135"/>
      <c r="O116" s="128"/>
      <c r="P116" s="119"/>
      <c r="Q116" s="119"/>
    </row>
    <row r="117" spans="1:17" ht="13" x14ac:dyDescent="0.3">
      <c r="C117" s="121" t="s">
        <v>345</v>
      </c>
      <c r="D117" s="122">
        <f>+D115+D111+D104+D101+D97+D67+D61+D49</f>
        <v>653485</v>
      </c>
      <c r="E117" s="122">
        <f>+E115+E111+E104+E101+E97+E67+E61+E49</f>
        <v>625255</v>
      </c>
      <c r="F117" s="122" t="e">
        <f>+F115+F111+F104+F101+F97+F67+F61+F49</f>
        <v>#VALUE!</v>
      </c>
      <c r="G117" s="122" t="e">
        <f>+G115+G111+G104+G101+G97+G67+G61+G49</f>
        <v>#VALUE!</v>
      </c>
      <c r="H117" s="122" t="e">
        <f>+H115+H111+H104+H101+H97+H67+H61+H49</f>
        <v>#VALUE!</v>
      </c>
      <c r="I117" s="123"/>
      <c r="J117" s="135"/>
      <c r="O117" s="131">
        <v>424182.61</v>
      </c>
      <c r="P117" s="129" t="e">
        <f>F117-O117</f>
        <v>#VALUE!</v>
      </c>
      <c r="Q117" s="130" t="e">
        <f>P117/O117</f>
        <v>#VALUE!</v>
      </c>
    </row>
    <row r="118" spans="1:17" x14ac:dyDescent="0.25">
      <c r="D118" s="117"/>
      <c r="E118" s="117"/>
      <c r="F118" s="117"/>
      <c r="G118" s="117"/>
      <c r="H118" s="117"/>
      <c r="I118" s="45"/>
      <c r="J118" s="135"/>
      <c r="O118" s="128"/>
      <c r="P118" s="119"/>
      <c r="Q118" s="119"/>
    </row>
    <row r="119" spans="1:17" x14ac:dyDescent="0.25">
      <c r="A119" s="120" t="s">
        <v>88</v>
      </c>
      <c r="B119" s="120" t="s">
        <v>788</v>
      </c>
      <c r="C119" s="120" t="s">
        <v>1151</v>
      </c>
      <c r="D119" s="117">
        <v>-1452</v>
      </c>
      <c r="E119" s="117">
        <v>-1452</v>
      </c>
      <c r="F119" s="117" t="e">
        <v>#VALUE!</v>
      </c>
      <c r="G119" s="117" t="e">
        <f>F119-D119</f>
        <v>#VALUE!</v>
      </c>
      <c r="H119" s="117" t="e">
        <f>F119-E119</f>
        <v>#VALUE!</v>
      </c>
      <c r="I119" s="45"/>
      <c r="J119" s="135"/>
      <c r="O119" s="128">
        <v>-1358.16</v>
      </c>
      <c r="P119" s="129" t="e">
        <f t="shared" ref="P119:P124" si="13">F119-O119</f>
        <v>#VALUE!</v>
      </c>
      <c r="Q119" s="130" t="e">
        <f t="shared" ref="Q119:Q124" si="14">P119/O119</f>
        <v>#VALUE!</v>
      </c>
    </row>
    <row r="120" spans="1:17" x14ac:dyDescent="0.25">
      <c r="A120" s="120" t="s">
        <v>88</v>
      </c>
      <c r="B120" s="120" t="s">
        <v>788</v>
      </c>
      <c r="C120" s="120" t="s">
        <v>2185</v>
      </c>
      <c r="D120" s="117"/>
      <c r="E120" s="117"/>
      <c r="F120" s="117" t="e">
        <v>#VALUE!</v>
      </c>
      <c r="G120" s="117" t="e">
        <f>F120-D120</f>
        <v>#VALUE!</v>
      </c>
      <c r="H120" s="117" t="e">
        <f>F120-E120</f>
        <v>#VALUE!</v>
      </c>
      <c r="I120" s="45"/>
      <c r="J120" s="135"/>
      <c r="O120" s="128">
        <v>0</v>
      </c>
      <c r="P120" s="129" t="e">
        <f t="shared" si="13"/>
        <v>#VALUE!</v>
      </c>
      <c r="Q120" s="130" t="e">
        <f t="shared" si="14"/>
        <v>#VALUE!</v>
      </c>
    </row>
    <row r="121" spans="1:17" x14ac:dyDescent="0.25">
      <c r="A121" s="120" t="s">
        <v>88</v>
      </c>
      <c r="B121" s="120" t="s">
        <v>788</v>
      </c>
      <c r="C121" s="120" t="s">
        <v>1155</v>
      </c>
      <c r="D121" s="117">
        <v>-33313</v>
      </c>
      <c r="E121" s="117">
        <v>-33313</v>
      </c>
      <c r="F121" s="117" t="e">
        <v>#VALUE!</v>
      </c>
      <c r="G121" s="117" t="e">
        <f>F121-D121</f>
        <v>#VALUE!</v>
      </c>
      <c r="H121" s="117" t="e">
        <f>F121-E121</f>
        <v>#VALUE!</v>
      </c>
      <c r="I121" s="45"/>
      <c r="J121" s="135"/>
      <c r="O121" s="128">
        <v>0</v>
      </c>
      <c r="P121" s="129" t="e">
        <f t="shared" si="13"/>
        <v>#VALUE!</v>
      </c>
      <c r="Q121" s="130" t="e">
        <f t="shared" si="14"/>
        <v>#VALUE!</v>
      </c>
    </row>
    <row r="122" spans="1:17" x14ac:dyDescent="0.25">
      <c r="A122" s="120" t="s">
        <v>88</v>
      </c>
      <c r="B122" s="120" t="s">
        <v>788</v>
      </c>
      <c r="C122" s="120" t="s">
        <v>2186</v>
      </c>
      <c r="D122" s="117"/>
      <c r="E122" s="117"/>
      <c r="F122" s="117" t="e">
        <v>#VALUE!</v>
      </c>
      <c r="G122" s="117" t="e">
        <f>F122-D122</f>
        <v>#VALUE!</v>
      </c>
      <c r="H122" s="117" t="e">
        <f>F122-E122</f>
        <v>#VALUE!</v>
      </c>
      <c r="I122" s="45"/>
      <c r="J122" s="135"/>
      <c r="O122" s="128">
        <v>0</v>
      </c>
      <c r="P122" s="129" t="e">
        <f t="shared" si="13"/>
        <v>#VALUE!</v>
      </c>
      <c r="Q122" s="130" t="e">
        <f t="shared" si="14"/>
        <v>#VALUE!</v>
      </c>
    </row>
    <row r="123" spans="1:17" x14ac:dyDescent="0.25">
      <c r="A123" s="120" t="s">
        <v>88</v>
      </c>
      <c r="B123" s="120" t="s">
        <v>788</v>
      </c>
      <c r="C123" s="120" t="s">
        <v>1159</v>
      </c>
      <c r="D123" s="117">
        <v>-8755</v>
      </c>
      <c r="E123" s="117">
        <v>0</v>
      </c>
      <c r="F123" s="117" t="e">
        <v>#VALUE!</v>
      </c>
      <c r="G123" s="117" t="e">
        <f>F123-D123</f>
        <v>#VALUE!</v>
      </c>
      <c r="H123" s="117" t="e">
        <f>F123-E123</f>
        <v>#VALUE!</v>
      </c>
      <c r="I123" s="45"/>
      <c r="J123" s="135"/>
      <c r="O123" s="128">
        <v>-7606.06</v>
      </c>
      <c r="P123" s="129" t="e">
        <f t="shared" si="13"/>
        <v>#VALUE!</v>
      </c>
      <c r="Q123" s="130" t="e">
        <f t="shared" si="14"/>
        <v>#VALUE!</v>
      </c>
    </row>
    <row r="124" spans="1:17" ht="13" x14ac:dyDescent="0.3">
      <c r="C124" s="121" t="s">
        <v>2187</v>
      </c>
      <c r="D124" s="122">
        <f>SUM(D119:D123)</f>
        <v>-43520</v>
      </c>
      <c r="E124" s="122">
        <f>SUM(E119:E123)</f>
        <v>-34765</v>
      </c>
      <c r="F124" s="122" t="e">
        <f>SUM(F119:F123)</f>
        <v>#VALUE!</v>
      </c>
      <c r="G124" s="122" t="e">
        <f>SUM(G119:G123)</f>
        <v>#VALUE!</v>
      </c>
      <c r="H124" s="122" t="e">
        <f>SUM(H119:H123)</f>
        <v>#VALUE!</v>
      </c>
      <c r="I124" s="123"/>
      <c r="J124" s="135"/>
      <c r="O124" s="131">
        <v>-8964.2199999999993</v>
      </c>
      <c r="P124" s="129" t="e">
        <f t="shared" si="13"/>
        <v>#VALUE!</v>
      </c>
      <c r="Q124" s="130" t="e">
        <f t="shared" si="14"/>
        <v>#VALUE!</v>
      </c>
    </row>
    <row r="125" spans="1:17" x14ac:dyDescent="0.25">
      <c r="D125" s="117"/>
      <c r="E125" s="117"/>
      <c r="F125" s="117"/>
      <c r="G125" s="117"/>
      <c r="H125" s="117"/>
      <c r="I125" s="45"/>
      <c r="J125" s="135"/>
      <c r="O125" s="128"/>
      <c r="P125" s="119"/>
      <c r="Q125" s="119"/>
    </row>
    <row r="126" spans="1:17" x14ac:dyDescent="0.25">
      <c r="A126" s="120" t="s">
        <v>88</v>
      </c>
      <c r="B126" s="120" t="s">
        <v>2171</v>
      </c>
      <c r="C126" s="120" t="s">
        <v>346</v>
      </c>
      <c r="D126" s="117">
        <v>-4738</v>
      </c>
      <c r="E126" s="117">
        <f>D126</f>
        <v>-4738</v>
      </c>
      <c r="F126" s="117" t="e">
        <v>#VALUE!</v>
      </c>
      <c r="G126" s="117" t="e">
        <f t="shared" ref="G126:G141" si="15">F126-D126</f>
        <v>#VALUE!</v>
      </c>
      <c r="H126" s="117" t="e">
        <f t="shared" ref="H126:H141" si="16">F126-E126</f>
        <v>#VALUE!</v>
      </c>
      <c r="I126" s="45"/>
      <c r="J126" s="135"/>
      <c r="O126" s="128">
        <v>-4103.18</v>
      </c>
      <c r="P126" s="129" t="e">
        <f t="shared" ref="P126:P142" si="17">F126-O126</f>
        <v>#VALUE!</v>
      </c>
      <c r="Q126" s="130" t="e">
        <f t="shared" ref="Q126:Q142" si="18">P126/O126</f>
        <v>#VALUE!</v>
      </c>
    </row>
    <row r="127" spans="1:17" x14ac:dyDescent="0.25">
      <c r="A127" s="120" t="s">
        <v>88</v>
      </c>
      <c r="B127" s="120" t="s">
        <v>2171</v>
      </c>
      <c r="C127" s="120" t="s">
        <v>1112</v>
      </c>
      <c r="D127" s="117">
        <v>-2732</v>
      </c>
      <c r="E127" s="117">
        <f>D127</f>
        <v>-2732</v>
      </c>
      <c r="F127" s="117" t="e">
        <v>#VALUE!</v>
      </c>
      <c r="G127" s="117" t="e">
        <f t="shared" si="15"/>
        <v>#VALUE!</v>
      </c>
      <c r="H127" s="117" t="e">
        <f t="shared" si="16"/>
        <v>#VALUE!</v>
      </c>
      <c r="I127" s="45"/>
      <c r="J127" s="135"/>
      <c r="O127" s="128">
        <v>-2869.19</v>
      </c>
      <c r="P127" s="129" t="e">
        <f t="shared" si="17"/>
        <v>#VALUE!</v>
      </c>
      <c r="Q127" s="130" t="e">
        <f t="shared" si="18"/>
        <v>#VALUE!</v>
      </c>
    </row>
    <row r="128" spans="1:17" x14ac:dyDescent="0.25">
      <c r="A128" s="120" t="s">
        <v>88</v>
      </c>
      <c r="B128" s="120" t="s">
        <v>2171</v>
      </c>
      <c r="C128" s="120" t="s">
        <v>347</v>
      </c>
      <c r="D128" s="117">
        <v>-6619</v>
      </c>
      <c r="E128" s="117">
        <f>D128</f>
        <v>-6619</v>
      </c>
      <c r="F128" s="117" t="e">
        <v>#VALUE!</v>
      </c>
      <c r="G128" s="117" t="e">
        <f t="shared" si="15"/>
        <v>#VALUE!</v>
      </c>
      <c r="H128" s="117" t="e">
        <f t="shared" si="16"/>
        <v>#VALUE!</v>
      </c>
      <c r="I128" s="45"/>
      <c r="J128" s="135"/>
      <c r="O128" s="128">
        <v>-6432.08</v>
      </c>
      <c r="P128" s="129" t="e">
        <f t="shared" si="17"/>
        <v>#VALUE!</v>
      </c>
      <c r="Q128" s="130" t="e">
        <f t="shared" si="18"/>
        <v>#VALUE!</v>
      </c>
    </row>
    <row r="129" spans="1:17" x14ac:dyDescent="0.25">
      <c r="A129" s="120" t="s">
        <v>88</v>
      </c>
      <c r="B129" s="120" t="s">
        <v>2171</v>
      </c>
      <c r="C129" s="120" t="s">
        <v>1122</v>
      </c>
      <c r="D129" s="117">
        <v>-3362</v>
      </c>
      <c r="E129" s="117">
        <f>D129</f>
        <v>-3362</v>
      </c>
      <c r="F129" s="117" t="e">
        <v>#VALUE!</v>
      </c>
      <c r="G129" s="117" t="e">
        <f t="shared" si="15"/>
        <v>#VALUE!</v>
      </c>
      <c r="H129" s="117" t="e">
        <f t="shared" si="16"/>
        <v>#VALUE!</v>
      </c>
      <c r="I129" s="45"/>
      <c r="J129" s="135"/>
      <c r="O129" s="128">
        <v>-2616.9499999999998</v>
      </c>
      <c r="P129" s="129" t="e">
        <f t="shared" si="17"/>
        <v>#VALUE!</v>
      </c>
      <c r="Q129" s="130" t="e">
        <f t="shared" si="18"/>
        <v>#VALUE!</v>
      </c>
    </row>
    <row r="130" spans="1:17" x14ac:dyDescent="0.25">
      <c r="A130" s="120" t="s">
        <v>88</v>
      </c>
      <c r="B130" s="120" t="s">
        <v>2171</v>
      </c>
      <c r="C130" s="120" t="s">
        <v>877</v>
      </c>
      <c r="D130" s="117">
        <v>-3730</v>
      </c>
      <c r="E130" s="117">
        <f>D130</f>
        <v>-3730</v>
      </c>
      <c r="F130" s="117" t="e">
        <v>#VALUE!</v>
      </c>
      <c r="G130" s="117" t="e">
        <f t="shared" si="15"/>
        <v>#VALUE!</v>
      </c>
      <c r="H130" s="117" t="e">
        <f t="shared" si="16"/>
        <v>#VALUE!</v>
      </c>
      <c r="I130" s="45"/>
      <c r="J130" s="135"/>
      <c r="O130" s="128">
        <v>0</v>
      </c>
      <c r="P130" s="129" t="e">
        <f t="shared" si="17"/>
        <v>#VALUE!</v>
      </c>
      <c r="Q130" s="130" t="e">
        <f t="shared" si="18"/>
        <v>#VALUE!</v>
      </c>
    </row>
    <row r="131" spans="1:17" x14ac:dyDescent="0.25">
      <c r="A131" s="120" t="s">
        <v>88</v>
      </c>
      <c r="B131" s="120" t="s">
        <v>2171</v>
      </c>
      <c r="C131" s="120" t="s">
        <v>1578</v>
      </c>
      <c r="D131" s="117"/>
      <c r="E131" s="117"/>
      <c r="F131" s="117" t="e">
        <v>#VALUE!</v>
      </c>
      <c r="G131" s="117" t="e">
        <f t="shared" si="15"/>
        <v>#VALUE!</v>
      </c>
      <c r="H131" s="117" t="e">
        <f t="shared" si="16"/>
        <v>#VALUE!</v>
      </c>
      <c r="I131" s="45"/>
      <c r="J131" s="135"/>
      <c r="O131" s="128">
        <v>-647.5</v>
      </c>
      <c r="P131" s="129" t="e">
        <f t="shared" si="17"/>
        <v>#VALUE!</v>
      </c>
      <c r="Q131" s="130" t="e">
        <f t="shared" si="18"/>
        <v>#VALUE!</v>
      </c>
    </row>
    <row r="132" spans="1:17" x14ac:dyDescent="0.25">
      <c r="A132" s="120" t="s">
        <v>88</v>
      </c>
      <c r="B132" s="120" t="s">
        <v>2171</v>
      </c>
      <c r="C132" s="120" t="s">
        <v>1147</v>
      </c>
      <c r="D132" s="117">
        <v>-626</v>
      </c>
      <c r="E132" s="117">
        <v>-626</v>
      </c>
      <c r="F132" s="117" t="e">
        <v>#VALUE!</v>
      </c>
      <c r="G132" s="117" t="e">
        <f t="shared" si="15"/>
        <v>#VALUE!</v>
      </c>
      <c r="H132" s="117" t="e">
        <f t="shared" si="16"/>
        <v>#VALUE!</v>
      </c>
      <c r="I132" s="45"/>
      <c r="J132" s="135"/>
      <c r="O132" s="128">
        <v>-626</v>
      </c>
      <c r="P132" s="129" t="e">
        <f t="shared" si="17"/>
        <v>#VALUE!</v>
      </c>
      <c r="Q132" s="130" t="e">
        <f t="shared" si="18"/>
        <v>#VALUE!</v>
      </c>
    </row>
    <row r="133" spans="1:17" x14ac:dyDescent="0.25">
      <c r="A133" s="120" t="s">
        <v>88</v>
      </c>
      <c r="B133" s="120" t="s">
        <v>2171</v>
      </c>
      <c r="C133" s="120" t="s">
        <v>978</v>
      </c>
      <c r="D133" s="117"/>
      <c r="E133" s="117"/>
      <c r="F133" s="117" t="e">
        <v>#VALUE!</v>
      </c>
      <c r="G133" s="117" t="e">
        <f t="shared" si="15"/>
        <v>#VALUE!</v>
      </c>
      <c r="H133" s="117" t="e">
        <f t="shared" si="16"/>
        <v>#VALUE!</v>
      </c>
      <c r="I133" s="45"/>
      <c r="J133" s="135"/>
      <c r="O133" s="128">
        <v>-16.09</v>
      </c>
      <c r="P133" s="129" t="e">
        <f t="shared" si="17"/>
        <v>#VALUE!</v>
      </c>
      <c r="Q133" s="130" t="e">
        <f t="shared" si="18"/>
        <v>#VALUE!</v>
      </c>
    </row>
    <row r="134" spans="1:17" x14ac:dyDescent="0.25">
      <c r="A134" s="120" t="s">
        <v>88</v>
      </c>
      <c r="B134" s="120" t="s">
        <v>2171</v>
      </c>
      <c r="C134" s="120" t="s">
        <v>2188</v>
      </c>
      <c r="D134" s="117"/>
      <c r="E134" s="117"/>
      <c r="F134" s="117" t="e">
        <v>#VALUE!</v>
      </c>
      <c r="G134" s="117" t="e">
        <f t="shared" si="15"/>
        <v>#VALUE!</v>
      </c>
      <c r="H134" s="117" t="e">
        <f t="shared" si="16"/>
        <v>#VALUE!</v>
      </c>
      <c r="I134" s="45"/>
      <c r="J134" s="135"/>
      <c r="O134" s="128">
        <v>0</v>
      </c>
      <c r="P134" s="129" t="e">
        <f t="shared" si="17"/>
        <v>#VALUE!</v>
      </c>
      <c r="Q134" s="130" t="e">
        <f t="shared" si="18"/>
        <v>#VALUE!</v>
      </c>
    </row>
    <row r="135" spans="1:17" x14ac:dyDescent="0.25">
      <c r="A135" s="120" t="s">
        <v>88</v>
      </c>
      <c r="B135" s="120" t="s">
        <v>2171</v>
      </c>
      <c r="C135" s="120" t="s">
        <v>2189</v>
      </c>
      <c r="D135" s="117"/>
      <c r="E135" s="117"/>
      <c r="F135" s="117" t="e">
        <v>#VALUE!</v>
      </c>
      <c r="G135" s="117" t="e">
        <f t="shared" si="15"/>
        <v>#VALUE!</v>
      </c>
      <c r="H135" s="117" t="e">
        <f t="shared" si="16"/>
        <v>#VALUE!</v>
      </c>
      <c r="I135" s="45"/>
      <c r="J135" s="135"/>
      <c r="O135" s="128">
        <v>0</v>
      </c>
      <c r="P135" s="129" t="e">
        <f t="shared" si="17"/>
        <v>#VALUE!</v>
      </c>
      <c r="Q135" s="130" t="e">
        <f t="shared" si="18"/>
        <v>#VALUE!</v>
      </c>
    </row>
    <row r="136" spans="1:17" x14ac:dyDescent="0.25">
      <c r="A136" s="120" t="s">
        <v>88</v>
      </c>
      <c r="B136" s="120" t="s">
        <v>2171</v>
      </c>
      <c r="C136" s="120" t="s">
        <v>1161</v>
      </c>
      <c r="D136" s="117"/>
      <c r="E136" s="117"/>
      <c r="F136" s="117" t="e">
        <v>#VALUE!</v>
      </c>
      <c r="G136" s="117" t="e">
        <f t="shared" si="15"/>
        <v>#VALUE!</v>
      </c>
      <c r="H136" s="117" t="e">
        <f t="shared" si="16"/>
        <v>#VALUE!</v>
      </c>
      <c r="I136" s="45"/>
      <c r="J136" s="135"/>
      <c r="O136" s="128">
        <v>-40</v>
      </c>
      <c r="P136" s="129" t="e">
        <f t="shared" si="17"/>
        <v>#VALUE!</v>
      </c>
      <c r="Q136" s="130" t="e">
        <f t="shared" si="18"/>
        <v>#VALUE!</v>
      </c>
    </row>
    <row r="137" spans="1:17" x14ac:dyDescent="0.25">
      <c r="A137" s="120" t="s">
        <v>88</v>
      </c>
      <c r="B137" s="120" t="s">
        <v>2171</v>
      </c>
      <c r="C137" s="120" t="s">
        <v>2190</v>
      </c>
      <c r="D137" s="117">
        <v>-1471</v>
      </c>
      <c r="E137" s="117">
        <f>D137</f>
        <v>-1471</v>
      </c>
      <c r="F137" s="117" t="e">
        <v>#VALUE!</v>
      </c>
      <c r="G137" s="117" t="e">
        <f t="shared" si="15"/>
        <v>#VALUE!</v>
      </c>
      <c r="H137" s="117" t="e">
        <f t="shared" si="16"/>
        <v>#VALUE!</v>
      </c>
      <c r="I137" s="45"/>
      <c r="J137" s="135"/>
      <c r="O137" s="128">
        <v>-977.28</v>
      </c>
      <c r="P137" s="129" t="e">
        <f t="shared" si="17"/>
        <v>#VALUE!</v>
      </c>
      <c r="Q137" s="130" t="e">
        <f t="shared" si="18"/>
        <v>#VALUE!</v>
      </c>
    </row>
    <row r="138" spans="1:17" x14ac:dyDescent="0.25">
      <c r="A138" s="120" t="s">
        <v>88</v>
      </c>
      <c r="B138" s="120" t="s">
        <v>2171</v>
      </c>
      <c r="C138" s="120" t="s">
        <v>983</v>
      </c>
      <c r="D138" s="117">
        <v>-160</v>
      </c>
      <c r="E138" s="117">
        <f>D138</f>
        <v>-160</v>
      </c>
      <c r="F138" s="117" t="e">
        <v>#VALUE!</v>
      </c>
      <c r="G138" s="117" t="e">
        <f t="shared" si="15"/>
        <v>#VALUE!</v>
      </c>
      <c r="H138" s="117" t="e">
        <f t="shared" si="16"/>
        <v>#VALUE!</v>
      </c>
      <c r="I138" s="45"/>
      <c r="J138" s="135"/>
      <c r="O138" s="128">
        <v>-254.37</v>
      </c>
      <c r="P138" s="129" t="e">
        <f t="shared" si="17"/>
        <v>#VALUE!</v>
      </c>
      <c r="Q138" s="130" t="e">
        <f t="shared" si="18"/>
        <v>#VALUE!</v>
      </c>
    </row>
    <row r="139" spans="1:17" x14ac:dyDescent="0.25">
      <c r="A139" s="120" t="s">
        <v>88</v>
      </c>
      <c r="B139" s="120" t="s">
        <v>2171</v>
      </c>
      <c r="C139" s="120" t="s">
        <v>1157</v>
      </c>
      <c r="D139" s="117"/>
      <c r="E139" s="117"/>
      <c r="F139" s="117" t="e">
        <v>#VALUE!</v>
      </c>
      <c r="G139" s="117" t="e">
        <f t="shared" si="15"/>
        <v>#VALUE!</v>
      </c>
      <c r="H139" s="117" t="e">
        <f t="shared" si="16"/>
        <v>#VALUE!</v>
      </c>
      <c r="I139" s="45"/>
      <c r="J139" s="135"/>
      <c r="O139" s="128">
        <v>-38863.760000000002</v>
      </c>
      <c r="P139" s="129" t="e">
        <f t="shared" si="17"/>
        <v>#VALUE!</v>
      </c>
      <c r="Q139" s="130" t="e">
        <f t="shared" si="18"/>
        <v>#VALUE!</v>
      </c>
    </row>
    <row r="140" spans="1:17" x14ac:dyDescent="0.25">
      <c r="A140" s="120" t="s">
        <v>88</v>
      </c>
      <c r="B140" s="120" t="s">
        <v>2171</v>
      </c>
      <c r="C140" s="120" t="s">
        <v>2191</v>
      </c>
      <c r="D140" s="117">
        <v>-3456</v>
      </c>
      <c r="E140" s="117">
        <v>-3456</v>
      </c>
      <c r="F140" s="117" t="e">
        <v>#VALUE!</v>
      </c>
      <c r="G140" s="117" t="e">
        <f t="shared" si="15"/>
        <v>#VALUE!</v>
      </c>
      <c r="H140" s="117" t="e">
        <f t="shared" si="16"/>
        <v>#VALUE!</v>
      </c>
      <c r="I140" s="45"/>
      <c r="J140" s="135"/>
      <c r="O140" s="128">
        <v>-217</v>
      </c>
      <c r="P140" s="129" t="e">
        <f t="shared" si="17"/>
        <v>#VALUE!</v>
      </c>
      <c r="Q140" s="130" t="e">
        <f t="shared" si="18"/>
        <v>#VALUE!</v>
      </c>
    </row>
    <row r="141" spans="1:17" x14ac:dyDescent="0.25">
      <c r="A141" s="120" t="s">
        <v>88</v>
      </c>
      <c r="B141" s="120" t="s">
        <v>2171</v>
      </c>
      <c r="C141" s="120" t="s">
        <v>1153</v>
      </c>
      <c r="D141" s="117"/>
      <c r="E141" s="117"/>
      <c r="F141" s="117" t="e">
        <v>#VALUE!</v>
      </c>
      <c r="G141" s="117" t="e">
        <f t="shared" si="15"/>
        <v>#VALUE!</v>
      </c>
      <c r="H141" s="117" t="e">
        <f t="shared" si="16"/>
        <v>#VALUE!</v>
      </c>
      <c r="I141" s="45"/>
      <c r="J141" s="135"/>
      <c r="O141" s="128">
        <v>-551</v>
      </c>
      <c r="P141" s="129" t="e">
        <f t="shared" si="17"/>
        <v>#VALUE!</v>
      </c>
      <c r="Q141" s="130" t="e">
        <f t="shared" si="18"/>
        <v>#VALUE!</v>
      </c>
    </row>
    <row r="142" spans="1:17" ht="13" x14ac:dyDescent="0.3">
      <c r="C142" s="121" t="s">
        <v>2172</v>
      </c>
      <c r="D142" s="122">
        <f>SUM(D126:D141)</f>
        <v>-26894</v>
      </c>
      <c r="E142" s="122">
        <f>SUM(E126:E141)</f>
        <v>-26894</v>
      </c>
      <c r="F142" s="122" t="e">
        <f>SUM(F126:F141)</f>
        <v>#VALUE!</v>
      </c>
      <c r="G142" s="122" t="e">
        <f>SUM(G126:G141)</f>
        <v>#VALUE!</v>
      </c>
      <c r="H142" s="122" t="e">
        <f>SUM(H126:H141)</f>
        <v>#VALUE!</v>
      </c>
      <c r="I142" s="123"/>
      <c r="J142" s="135"/>
      <c r="O142" s="131">
        <v>-58214.400000000001</v>
      </c>
      <c r="P142" s="129" t="e">
        <f t="shared" si="17"/>
        <v>#VALUE!</v>
      </c>
      <c r="Q142" s="130" t="e">
        <f t="shared" si="18"/>
        <v>#VALUE!</v>
      </c>
    </row>
    <row r="143" spans="1:17" x14ac:dyDescent="0.25">
      <c r="D143" s="117"/>
      <c r="E143" s="117"/>
      <c r="F143" s="117"/>
      <c r="G143" s="117"/>
      <c r="H143" s="117"/>
      <c r="I143" s="45"/>
      <c r="J143" s="135"/>
      <c r="O143" s="128"/>
      <c r="P143" s="119"/>
      <c r="Q143" s="119"/>
    </row>
    <row r="144" spans="1:17" x14ac:dyDescent="0.25">
      <c r="A144" s="120" t="s">
        <v>88</v>
      </c>
      <c r="B144" s="120" t="s">
        <v>355</v>
      </c>
      <c r="C144" s="120" t="s">
        <v>1130</v>
      </c>
      <c r="D144" s="117"/>
      <c r="E144" s="117"/>
      <c r="F144" s="117" t="e">
        <v>#VALUE!</v>
      </c>
      <c r="G144" s="117" t="e">
        <f>F144-D144</f>
        <v>#VALUE!</v>
      </c>
      <c r="H144" s="117" t="e">
        <f>F144-E144</f>
        <v>#VALUE!</v>
      </c>
      <c r="I144" s="45"/>
      <c r="J144" s="135"/>
      <c r="O144" s="128">
        <v>0</v>
      </c>
      <c r="P144" s="129" t="e">
        <f>F144-O144</f>
        <v>#VALUE!</v>
      </c>
      <c r="Q144" s="130" t="e">
        <f>P144/O144</f>
        <v>#VALUE!</v>
      </c>
    </row>
    <row r="145" spans="1:17" x14ac:dyDescent="0.25">
      <c r="A145" s="120" t="s">
        <v>88</v>
      </c>
      <c r="B145" s="120" t="s">
        <v>355</v>
      </c>
      <c r="C145" s="120" t="s">
        <v>1134</v>
      </c>
      <c r="D145" s="117"/>
      <c r="E145" s="117"/>
      <c r="F145" s="117" t="e">
        <v>#VALUE!</v>
      </c>
      <c r="G145" s="117" t="e">
        <f>F145-D145</f>
        <v>#VALUE!</v>
      </c>
      <c r="H145" s="117" t="e">
        <f>F145-E145</f>
        <v>#VALUE!</v>
      </c>
      <c r="I145" s="45"/>
      <c r="J145" s="135"/>
      <c r="O145" s="128">
        <v>-5000</v>
      </c>
      <c r="P145" s="129" t="e">
        <f>F145-O145</f>
        <v>#VALUE!</v>
      </c>
      <c r="Q145" s="130" t="e">
        <f>P145/O145</f>
        <v>#VALUE!</v>
      </c>
    </row>
    <row r="146" spans="1:17" ht="13" x14ac:dyDescent="0.3">
      <c r="C146" s="121" t="s">
        <v>2192</v>
      </c>
      <c r="D146" s="122">
        <f>SUM(D144:D145)</f>
        <v>0</v>
      </c>
      <c r="E146" s="122">
        <f>SUM(E144:E145)</f>
        <v>0</v>
      </c>
      <c r="F146" s="122" t="e">
        <f>SUM(F144:F145)</f>
        <v>#VALUE!</v>
      </c>
      <c r="G146" s="122" t="e">
        <f>SUM(G144:G145)</f>
        <v>#VALUE!</v>
      </c>
      <c r="H146" s="122" t="e">
        <f>SUM(H144:H145)</f>
        <v>#VALUE!</v>
      </c>
      <c r="I146" s="123"/>
      <c r="J146" s="135"/>
      <c r="O146" s="131">
        <v>-5000</v>
      </c>
      <c r="P146" s="129" t="e">
        <f>F146-O146</f>
        <v>#VALUE!</v>
      </c>
      <c r="Q146" s="130" t="e">
        <f>P146/O146</f>
        <v>#VALUE!</v>
      </c>
    </row>
    <row r="147" spans="1:17" x14ac:dyDescent="0.25">
      <c r="D147" s="117"/>
      <c r="E147" s="117"/>
      <c r="F147" s="117"/>
      <c r="G147" s="117"/>
      <c r="H147" s="117"/>
      <c r="I147" s="45"/>
      <c r="J147" s="135"/>
      <c r="O147" s="128"/>
      <c r="P147" s="119"/>
      <c r="Q147" s="119"/>
    </row>
    <row r="148" spans="1:17" ht="13" x14ac:dyDescent="0.3">
      <c r="C148" s="121" t="s">
        <v>2156</v>
      </c>
      <c r="D148" s="122">
        <f>+D146+D142+D124+D117</f>
        <v>583071</v>
      </c>
      <c r="E148" s="122">
        <f>+E146+E142+E124+E117</f>
        <v>563596</v>
      </c>
      <c r="F148" s="122" t="e">
        <f>+F146+F142+F124+F117</f>
        <v>#VALUE!</v>
      </c>
      <c r="G148" s="122" t="e">
        <f>+G146+G142+G124+G117</f>
        <v>#VALUE!</v>
      </c>
      <c r="H148" s="122" t="e">
        <f>+H146+H142+H124+H117</f>
        <v>#VALUE!</v>
      </c>
      <c r="I148" s="123"/>
      <c r="J148" s="135" t="e">
        <v>#VALUE!</v>
      </c>
      <c r="K148" s="135"/>
      <c r="L148" s="135"/>
      <c r="M148" s="135"/>
      <c r="O148" s="131">
        <v>352003.99</v>
      </c>
      <c r="P148" s="129" t="e">
        <f>F148-O148</f>
        <v>#VALUE!</v>
      </c>
      <c r="Q148" s="130" t="e">
        <f>P148/O148</f>
        <v>#VALUE!</v>
      </c>
    </row>
    <row r="149" spans="1:17" ht="13" x14ac:dyDescent="0.3">
      <c r="D149" s="117"/>
      <c r="E149" s="122" t="e">
        <f>IF(F149="","","CHECK")</f>
        <v>#VALUE!</v>
      </c>
      <c r="F149" s="122" t="e">
        <v>#VALUE!</v>
      </c>
      <c r="G149" s="117"/>
      <c r="H149" s="117"/>
      <c r="I149" s="45"/>
      <c r="J149" s="135"/>
      <c r="O149" s="128"/>
      <c r="P149" s="119"/>
      <c r="Q149" s="119"/>
    </row>
    <row r="150" spans="1:17" x14ac:dyDescent="0.25">
      <c r="A150" s="120" t="s">
        <v>2074</v>
      </c>
      <c r="B150" s="120" t="s">
        <v>53</v>
      </c>
      <c r="C150" s="120" t="s">
        <v>886</v>
      </c>
      <c r="D150" s="117">
        <v>50274</v>
      </c>
      <c r="E150" s="117">
        <v>62585</v>
      </c>
      <c r="F150" s="117" t="e">
        <v>#VALUE!</v>
      </c>
      <c r="G150" s="117" t="e">
        <f>F150-D150</f>
        <v>#VALUE!</v>
      </c>
      <c r="H150" s="117" t="e">
        <f>F150-E150</f>
        <v>#VALUE!</v>
      </c>
      <c r="I150" s="45"/>
      <c r="J150" s="135"/>
      <c r="O150" s="128">
        <v>50525.79</v>
      </c>
      <c r="P150" s="129" t="e">
        <f>F150-O150</f>
        <v>#VALUE!</v>
      </c>
      <c r="Q150" s="130" t="e">
        <f>P150/O150</f>
        <v>#VALUE!</v>
      </c>
    </row>
    <row r="151" spans="1:17" x14ac:dyDescent="0.25">
      <c r="A151" s="120" t="s">
        <v>2074</v>
      </c>
      <c r="B151" s="120" t="s">
        <v>53</v>
      </c>
      <c r="C151" s="120" t="s">
        <v>816</v>
      </c>
      <c r="D151" s="117">
        <v>3146</v>
      </c>
      <c r="E151" s="117">
        <v>3971</v>
      </c>
      <c r="F151" s="117" t="e">
        <v>#VALUE!</v>
      </c>
      <c r="G151" s="117" t="e">
        <f>F151-D151</f>
        <v>#VALUE!</v>
      </c>
      <c r="H151" s="117" t="e">
        <f>F151-E151</f>
        <v>#VALUE!</v>
      </c>
      <c r="I151" s="45"/>
      <c r="J151" s="135"/>
      <c r="O151" s="128">
        <v>3244.9</v>
      </c>
      <c r="P151" s="129" t="e">
        <f>F151-O151</f>
        <v>#VALUE!</v>
      </c>
      <c r="Q151" s="130" t="e">
        <f>P151/O151</f>
        <v>#VALUE!</v>
      </c>
    </row>
    <row r="152" spans="1:17" x14ac:dyDescent="0.25">
      <c r="A152" s="120" t="s">
        <v>2074</v>
      </c>
      <c r="B152" s="120" t="s">
        <v>53</v>
      </c>
      <c r="C152" s="120" t="s">
        <v>817</v>
      </c>
      <c r="D152" s="117">
        <v>8809</v>
      </c>
      <c r="E152" s="117">
        <v>12128</v>
      </c>
      <c r="F152" s="117" t="e">
        <v>#VALUE!</v>
      </c>
      <c r="G152" s="117" t="e">
        <f>F152-D152</f>
        <v>#VALUE!</v>
      </c>
      <c r="H152" s="117" t="e">
        <f>F152-E152</f>
        <v>#VALUE!</v>
      </c>
      <c r="I152" s="45"/>
      <c r="J152" s="135"/>
      <c r="O152" s="128">
        <v>7282.96</v>
      </c>
      <c r="P152" s="129" t="e">
        <f>F152-O152</f>
        <v>#VALUE!</v>
      </c>
      <c r="Q152" s="130" t="e">
        <f>P152/O152</f>
        <v>#VALUE!</v>
      </c>
    </row>
    <row r="153" spans="1:17" x14ac:dyDescent="0.25">
      <c r="A153" s="120" t="s">
        <v>2074</v>
      </c>
      <c r="B153" s="120" t="s">
        <v>53</v>
      </c>
      <c r="C153" s="120" t="s">
        <v>350</v>
      </c>
      <c r="D153" s="117">
        <v>841</v>
      </c>
      <c r="E153" s="117">
        <f>D153</f>
        <v>841</v>
      </c>
      <c r="F153" s="117" t="e">
        <v>#VALUE!</v>
      </c>
      <c r="G153" s="117" t="e">
        <f>F153-D153</f>
        <v>#VALUE!</v>
      </c>
      <c r="H153" s="117" t="e">
        <f>F153-E153</f>
        <v>#VALUE!</v>
      </c>
      <c r="I153" s="45"/>
      <c r="J153" s="135"/>
      <c r="O153" s="128">
        <v>0</v>
      </c>
      <c r="P153" s="129" t="e">
        <f>F153-O153</f>
        <v>#VALUE!</v>
      </c>
      <c r="Q153" s="130" t="e">
        <f>P153/O153</f>
        <v>#VALUE!</v>
      </c>
    </row>
    <row r="154" spans="1:17" ht="13" x14ac:dyDescent="0.3">
      <c r="C154" s="121" t="s">
        <v>2164</v>
      </c>
      <c r="D154" s="122">
        <f>SUM(D150:D153)</f>
        <v>63070</v>
      </c>
      <c r="E154" s="122">
        <f>SUM(E150:E153)</f>
        <v>79525</v>
      </c>
      <c r="F154" s="122" t="e">
        <f>SUM(F150:F153)</f>
        <v>#VALUE!</v>
      </c>
      <c r="G154" s="122" t="e">
        <f>SUM(G150:G153)</f>
        <v>#VALUE!</v>
      </c>
      <c r="H154" s="122" t="e">
        <f>SUM(H150:H153)</f>
        <v>#VALUE!</v>
      </c>
      <c r="I154" s="123"/>
      <c r="J154" s="135"/>
      <c r="O154" s="131">
        <v>61053.65</v>
      </c>
      <c r="P154" s="129" t="e">
        <f>F154-O154</f>
        <v>#VALUE!</v>
      </c>
      <c r="Q154" s="130" t="e">
        <f>P154/O154</f>
        <v>#VALUE!</v>
      </c>
    </row>
    <row r="155" spans="1:17" x14ac:dyDescent="0.25">
      <c r="D155" s="117"/>
      <c r="E155" s="117"/>
      <c r="F155" s="117"/>
      <c r="G155" s="117"/>
      <c r="H155" s="117"/>
      <c r="I155" s="45"/>
      <c r="J155" s="135"/>
      <c r="O155" s="128"/>
      <c r="P155" s="119"/>
      <c r="Q155" s="119"/>
    </row>
    <row r="156" spans="1:17" x14ac:dyDescent="0.25">
      <c r="A156" s="120" t="s">
        <v>2074</v>
      </c>
      <c r="B156" s="120" t="s">
        <v>755</v>
      </c>
      <c r="C156" s="120" t="s">
        <v>1014</v>
      </c>
      <c r="D156" s="117">
        <v>14173</v>
      </c>
      <c r="E156" s="117">
        <f>D156</f>
        <v>14173</v>
      </c>
      <c r="F156" s="117" t="e">
        <v>#VALUE!</v>
      </c>
      <c r="G156" s="117" t="e">
        <f t="shared" ref="G156:G166" si="19">F156-D156</f>
        <v>#VALUE!</v>
      </c>
      <c r="H156" s="117" t="e">
        <f t="shared" ref="H156:H166" si="20">F156-E156</f>
        <v>#VALUE!</v>
      </c>
      <c r="I156" s="45"/>
      <c r="J156" s="135"/>
      <c r="O156" s="128">
        <v>15272.12</v>
      </c>
      <c r="P156" s="129" t="e">
        <f t="shared" ref="P156:P167" si="21">F156-O156</f>
        <v>#VALUE!</v>
      </c>
      <c r="Q156" s="130" t="e">
        <f t="shared" ref="Q156:Q167" si="22">P156/O156</f>
        <v>#VALUE!</v>
      </c>
    </row>
    <row r="157" spans="1:17" x14ac:dyDescent="0.25">
      <c r="A157" s="120" t="s">
        <v>2074</v>
      </c>
      <c r="B157" s="120" t="s">
        <v>755</v>
      </c>
      <c r="C157" s="120" t="s">
        <v>1029</v>
      </c>
      <c r="D157" s="117"/>
      <c r="E157" s="117"/>
      <c r="F157" s="117" t="e">
        <v>#VALUE!</v>
      </c>
      <c r="G157" s="117" t="e">
        <f t="shared" si="19"/>
        <v>#VALUE!</v>
      </c>
      <c r="H157" s="117" t="e">
        <f t="shared" si="20"/>
        <v>#VALUE!</v>
      </c>
      <c r="I157" s="45"/>
      <c r="J157" s="135"/>
      <c r="O157" s="128">
        <v>670.74</v>
      </c>
      <c r="P157" s="129" t="e">
        <f t="shared" si="21"/>
        <v>#VALUE!</v>
      </c>
      <c r="Q157" s="130" t="e">
        <f t="shared" si="22"/>
        <v>#VALUE!</v>
      </c>
    </row>
    <row r="158" spans="1:17" x14ac:dyDescent="0.25">
      <c r="A158" s="120" t="s">
        <v>2074</v>
      </c>
      <c r="B158" s="120" t="s">
        <v>755</v>
      </c>
      <c r="C158" s="120" t="s">
        <v>1021</v>
      </c>
      <c r="D158" s="117"/>
      <c r="E158" s="117"/>
      <c r="F158" s="117" t="e">
        <v>#VALUE!</v>
      </c>
      <c r="G158" s="117" t="e">
        <f t="shared" si="19"/>
        <v>#VALUE!</v>
      </c>
      <c r="H158" s="117" t="e">
        <f t="shared" si="20"/>
        <v>#VALUE!</v>
      </c>
      <c r="I158" s="45"/>
      <c r="J158" s="135"/>
      <c r="O158" s="128">
        <v>1047</v>
      </c>
      <c r="P158" s="129" t="e">
        <f t="shared" si="21"/>
        <v>#VALUE!</v>
      </c>
      <c r="Q158" s="130" t="e">
        <f t="shared" si="22"/>
        <v>#VALUE!</v>
      </c>
    </row>
    <row r="159" spans="1:17" x14ac:dyDescent="0.25">
      <c r="A159" s="120" t="s">
        <v>2074</v>
      </c>
      <c r="B159" s="120" t="s">
        <v>755</v>
      </c>
      <c r="C159" s="120" t="s">
        <v>1008</v>
      </c>
      <c r="D159" s="117">
        <v>3309</v>
      </c>
      <c r="E159" s="117">
        <f t="shared" ref="E159:E166" si="23">D159</f>
        <v>3309</v>
      </c>
      <c r="F159" s="117" t="e">
        <v>#VALUE!</v>
      </c>
      <c r="G159" s="117" t="e">
        <f t="shared" si="19"/>
        <v>#VALUE!</v>
      </c>
      <c r="H159" s="117" t="e">
        <f t="shared" si="20"/>
        <v>#VALUE!</v>
      </c>
      <c r="I159" s="45"/>
      <c r="J159" s="135"/>
      <c r="O159" s="128">
        <v>2458.65</v>
      </c>
      <c r="P159" s="129" t="e">
        <f t="shared" si="21"/>
        <v>#VALUE!</v>
      </c>
      <c r="Q159" s="130" t="e">
        <f t="shared" si="22"/>
        <v>#VALUE!</v>
      </c>
    </row>
    <row r="160" spans="1:17" x14ac:dyDescent="0.25">
      <c r="A160" s="120" t="s">
        <v>2074</v>
      </c>
      <c r="B160" s="120" t="s">
        <v>755</v>
      </c>
      <c r="C160" s="120" t="s">
        <v>2239</v>
      </c>
      <c r="D160" s="117">
        <v>3000</v>
      </c>
      <c r="E160" s="117"/>
      <c r="F160" s="117" t="e">
        <v>#VALUE!</v>
      </c>
      <c r="G160" s="117" t="e">
        <f t="shared" si="19"/>
        <v>#VALUE!</v>
      </c>
      <c r="H160" s="117" t="e">
        <f t="shared" si="20"/>
        <v>#VALUE!</v>
      </c>
      <c r="I160" s="45"/>
      <c r="J160" s="135"/>
      <c r="O160" s="128"/>
      <c r="P160" s="129"/>
      <c r="Q160" s="130"/>
    </row>
    <row r="161" spans="1:17" x14ac:dyDescent="0.25">
      <c r="A161" s="120" t="s">
        <v>2074</v>
      </c>
      <c r="B161" s="120" t="s">
        <v>755</v>
      </c>
      <c r="C161" s="120" t="s">
        <v>342</v>
      </c>
      <c r="D161" s="117">
        <v>8006</v>
      </c>
      <c r="E161" s="117">
        <v>8006</v>
      </c>
      <c r="F161" s="117" t="e">
        <v>#VALUE!</v>
      </c>
      <c r="G161" s="117" t="e">
        <f t="shared" si="19"/>
        <v>#VALUE!</v>
      </c>
      <c r="H161" s="117" t="e">
        <f t="shared" si="20"/>
        <v>#VALUE!</v>
      </c>
      <c r="I161" s="45"/>
      <c r="J161" s="135"/>
      <c r="O161" s="128">
        <v>3591.9</v>
      </c>
      <c r="P161" s="129" t="e">
        <f t="shared" si="21"/>
        <v>#VALUE!</v>
      </c>
      <c r="Q161" s="130" t="e">
        <f t="shared" si="22"/>
        <v>#VALUE!</v>
      </c>
    </row>
    <row r="162" spans="1:17" x14ac:dyDescent="0.25">
      <c r="A162" s="120" t="s">
        <v>2074</v>
      </c>
      <c r="B162" s="120" t="s">
        <v>755</v>
      </c>
      <c r="C162" s="120" t="s">
        <v>341</v>
      </c>
      <c r="D162" s="117">
        <v>17988</v>
      </c>
      <c r="E162" s="117">
        <v>17988</v>
      </c>
      <c r="F162" s="117" t="e">
        <v>#VALUE!</v>
      </c>
      <c r="G162" s="117" t="e">
        <f t="shared" si="19"/>
        <v>#VALUE!</v>
      </c>
      <c r="H162" s="117" t="e">
        <f t="shared" si="20"/>
        <v>#VALUE!</v>
      </c>
      <c r="I162" s="45"/>
      <c r="J162" s="135"/>
      <c r="O162" s="128">
        <v>8521.65</v>
      </c>
      <c r="P162" s="129" t="e">
        <f t="shared" si="21"/>
        <v>#VALUE!</v>
      </c>
      <c r="Q162" s="130" t="e">
        <f t="shared" si="22"/>
        <v>#VALUE!</v>
      </c>
    </row>
    <row r="163" spans="1:17" x14ac:dyDescent="0.25">
      <c r="A163" s="120" t="s">
        <v>2074</v>
      </c>
      <c r="B163" s="120" t="s">
        <v>755</v>
      </c>
      <c r="C163" s="120" t="s">
        <v>820</v>
      </c>
      <c r="D163" s="117">
        <v>13225</v>
      </c>
      <c r="E163" s="117">
        <f t="shared" si="23"/>
        <v>13225</v>
      </c>
      <c r="F163" s="117" t="e">
        <v>#VALUE!</v>
      </c>
      <c r="G163" s="117" t="e">
        <f t="shared" si="19"/>
        <v>#VALUE!</v>
      </c>
      <c r="H163" s="117" t="e">
        <f t="shared" si="20"/>
        <v>#VALUE!</v>
      </c>
      <c r="I163" s="45"/>
      <c r="J163" s="135"/>
      <c r="O163" s="128">
        <v>11149.19</v>
      </c>
      <c r="P163" s="129" t="e">
        <f t="shared" si="21"/>
        <v>#VALUE!</v>
      </c>
      <c r="Q163" s="130" t="e">
        <f t="shared" si="22"/>
        <v>#VALUE!</v>
      </c>
    </row>
    <row r="164" spans="1:17" x14ac:dyDescent="0.25">
      <c r="A164" s="120" t="s">
        <v>2074</v>
      </c>
      <c r="B164" s="120" t="s">
        <v>755</v>
      </c>
      <c r="C164" s="120" t="s">
        <v>999</v>
      </c>
      <c r="D164" s="117">
        <v>935</v>
      </c>
      <c r="E164" s="117">
        <f t="shared" si="23"/>
        <v>935</v>
      </c>
      <c r="F164" s="117" t="e">
        <v>#VALUE!</v>
      </c>
      <c r="G164" s="117" t="e">
        <f t="shared" si="19"/>
        <v>#VALUE!</v>
      </c>
      <c r="H164" s="117" t="e">
        <f t="shared" si="20"/>
        <v>#VALUE!</v>
      </c>
      <c r="I164" s="45"/>
      <c r="J164" s="135"/>
      <c r="O164" s="128">
        <v>1065.2</v>
      </c>
      <c r="P164" s="129" t="e">
        <f t="shared" si="21"/>
        <v>#VALUE!</v>
      </c>
      <c r="Q164" s="130" t="e">
        <f t="shared" si="22"/>
        <v>#VALUE!</v>
      </c>
    </row>
    <row r="165" spans="1:17" x14ac:dyDescent="0.25">
      <c r="A165" s="120" t="s">
        <v>2074</v>
      </c>
      <c r="B165" s="120" t="s">
        <v>755</v>
      </c>
      <c r="C165" s="120" t="s">
        <v>344</v>
      </c>
      <c r="D165" s="117">
        <v>13119</v>
      </c>
      <c r="E165" s="117">
        <f t="shared" si="23"/>
        <v>13119</v>
      </c>
      <c r="F165" s="117" t="e">
        <v>#VALUE!</v>
      </c>
      <c r="G165" s="117" t="e">
        <f t="shared" si="19"/>
        <v>#VALUE!</v>
      </c>
      <c r="H165" s="117" t="e">
        <f t="shared" si="20"/>
        <v>#VALUE!</v>
      </c>
      <c r="I165" s="45"/>
      <c r="J165" s="135"/>
      <c r="O165" s="128">
        <v>11870.41</v>
      </c>
      <c r="P165" s="129" t="e">
        <f t="shared" si="21"/>
        <v>#VALUE!</v>
      </c>
      <c r="Q165" s="130" t="e">
        <f t="shared" si="22"/>
        <v>#VALUE!</v>
      </c>
    </row>
    <row r="166" spans="1:17" x14ac:dyDescent="0.25">
      <c r="A166" s="120" t="s">
        <v>2074</v>
      </c>
      <c r="B166" s="120" t="s">
        <v>755</v>
      </c>
      <c r="C166" s="120" t="s">
        <v>821</v>
      </c>
      <c r="D166" s="117">
        <v>4365</v>
      </c>
      <c r="E166" s="117">
        <f t="shared" si="23"/>
        <v>4365</v>
      </c>
      <c r="F166" s="117" t="e">
        <v>#VALUE!</v>
      </c>
      <c r="G166" s="117" t="e">
        <f t="shared" si="19"/>
        <v>#VALUE!</v>
      </c>
      <c r="H166" s="117" t="e">
        <f t="shared" si="20"/>
        <v>#VALUE!</v>
      </c>
      <c r="I166" s="45"/>
      <c r="J166" s="135"/>
      <c r="O166" s="128">
        <v>4078.35</v>
      </c>
      <c r="P166" s="129" t="e">
        <f t="shared" si="21"/>
        <v>#VALUE!</v>
      </c>
      <c r="Q166" s="130" t="e">
        <f t="shared" si="22"/>
        <v>#VALUE!</v>
      </c>
    </row>
    <row r="167" spans="1:17" ht="13" x14ac:dyDescent="0.3">
      <c r="C167" s="121" t="s">
        <v>2193</v>
      </c>
      <c r="D167" s="122">
        <f>SUM(D156:D166)</f>
        <v>78120</v>
      </c>
      <c r="E167" s="122">
        <f>SUM(E156:E166)</f>
        <v>75120</v>
      </c>
      <c r="F167" s="122" t="e">
        <f>SUM(F156:F166)</f>
        <v>#VALUE!</v>
      </c>
      <c r="G167" s="122" t="e">
        <f>SUM(G156:G166)</f>
        <v>#VALUE!</v>
      </c>
      <c r="H167" s="122" t="e">
        <f>SUM(H156:H166)</f>
        <v>#VALUE!</v>
      </c>
      <c r="I167" s="123"/>
      <c r="J167" s="135"/>
      <c r="O167" s="131">
        <v>59725.21</v>
      </c>
      <c r="P167" s="129" t="e">
        <f t="shared" si="21"/>
        <v>#VALUE!</v>
      </c>
      <c r="Q167" s="130" t="e">
        <f t="shared" si="22"/>
        <v>#VALUE!</v>
      </c>
    </row>
    <row r="168" spans="1:17" x14ac:dyDescent="0.25">
      <c r="D168" s="117"/>
      <c r="E168" s="117"/>
      <c r="F168" s="117"/>
      <c r="G168" s="117"/>
      <c r="H168" s="117"/>
      <c r="I168" s="45"/>
      <c r="J168" s="135"/>
      <c r="O168" s="128"/>
      <c r="P168" s="119"/>
      <c r="Q168" s="119"/>
    </row>
    <row r="169" spans="1:17" x14ac:dyDescent="0.25">
      <c r="A169" s="120" t="s">
        <v>2074</v>
      </c>
      <c r="B169" s="120" t="s">
        <v>756</v>
      </c>
      <c r="C169" s="120" t="s">
        <v>906</v>
      </c>
      <c r="D169" s="117">
        <v>1787</v>
      </c>
      <c r="E169" s="117">
        <f>D169</f>
        <v>1787</v>
      </c>
      <c r="F169" s="117" t="e">
        <v>#VALUE!</v>
      </c>
      <c r="G169" s="117" t="e">
        <f>F169-D169</f>
        <v>#VALUE!</v>
      </c>
      <c r="H169" s="117" t="e">
        <f>F169-E169</f>
        <v>#VALUE!</v>
      </c>
      <c r="I169" s="45"/>
      <c r="J169" s="135"/>
      <c r="O169" s="128">
        <v>618.61</v>
      </c>
      <c r="P169" s="129" t="e">
        <f>F169-O169</f>
        <v>#VALUE!</v>
      </c>
      <c r="Q169" s="130" t="e">
        <f>P169/O169</f>
        <v>#VALUE!</v>
      </c>
    </row>
    <row r="170" spans="1:17" x14ac:dyDescent="0.25">
      <c r="A170" s="120" t="s">
        <v>2074</v>
      </c>
      <c r="B170" s="120" t="s">
        <v>756</v>
      </c>
      <c r="C170" s="120" t="s">
        <v>901</v>
      </c>
      <c r="D170" s="117"/>
      <c r="E170" s="117">
        <f>D170</f>
        <v>0</v>
      </c>
      <c r="F170" s="117" t="e">
        <v>#VALUE!</v>
      </c>
      <c r="G170" s="117" t="e">
        <f>F170-D170</f>
        <v>#VALUE!</v>
      </c>
      <c r="H170" s="117" t="e">
        <f>F170-E170</f>
        <v>#VALUE!</v>
      </c>
      <c r="I170" s="45"/>
      <c r="J170" s="135"/>
      <c r="O170" s="128">
        <v>827.17</v>
      </c>
      <c r="P170" s="129" t="e">
        <f>F170-O170</f>
        <v>#VALUE!</v>
      </c>
      <c r="Q170" s="130" t="e">
        <f>P170/O170</f>
        <v>#VALUE!</v>
      </c>
    </row>
    <row r="171" spans="1:17" ht="13" x14ac:dyDescent="0.3">
      <c r="C171" s="121" t="s">
        <v>2167</v>
      </c>
      <c r="D171" s="122">
        <f>SUM(D169:D170)</f>
        <v>1787</v>
      </c>
      <c r="E171" s="122">
        <f>SUM(E169:E170)</f>
        <v>1787</v>
      </c>
      <c r="F171" s="122" t="e">
        <f>SUM(F169:F170)</f>
        <v>#VALUE!</v>
      </c>
      <c r="G171" s="122" t="e">
        <f>SUM(G169:G170)</f>
        <v>#VALUE!</v>
      </c>
      <c r="H171" s="122" t="e">
        <f>SUM(H169:H170)</f>
        <v>#VALUE!</v>
      </c>
      <c r="I171" s="123"/>
      <c r="J171" s="135"/>
      <c r="O171" s="131">
        <v>1445.78</v>
      </c>
      <c r="P171" s="129" t="e">
        <f>F171-O171</f>
        <v>#VALUE!</v>
      </c>
      <c r="Q171" s="130" t="e">
        <f>P171/O171</f>
        <v>#VALUE!</v>
      </c>
    </row>
    <row r="172" spans="1:17" x14ac:dyDescent="0.25">
      <c r="D172" s="117"/>
      <c r="E172" s="117"/>
      <c r="F172" s="117"/>
      <c r="G172" s="117"/>
      <c r="H172" s="117"/>
      <c r="I172" s="45"/>
      <c r="J172" s="135"/>
      <c r="O172" s="128"/>
      <c r="P172" s="119"/>
      <c r="Q172" s="119"/>
    </row>
    <row r="173" spans="1:17" x14ac:dyDescent="0.25">
      <c r="A173" s="120" t="s">
        <v>2074</v>
      </c>
      <c r="B173" s="120" t="s">
        <v>757</v>
      </c>
      <c r="C173" s="120" t="s">
        <v>990</v>
      </c>
      <c r="D173" s="117">
        <v>536</v>
      </c>
      <c r="E173" s="117">
        <f t="shared" ref="E173:E184" si="24">D173</f>
        <v>536</v>
      </c>
      <c r="F173" s="117" t="e">
        <v>#VALUE!</v>
      </c>
      <c r="G173" s="117" t="e">
        <f t="shared" ref="G173:G184" si="25">F173-D173</f>
        <v>#VALUE!</v>
      </c>
      <c r="H173" s="117" t="e">
        <f t="shared" ref="H173:H184" si="26">F173-E173</f>
        <v>#VALUE!</v>
      </c>
      <c r="I173" s="45"/>
      <c r="J173" s="135"/>
      <c r="O173" s="128">
        <v>133.29</v>
      </c>
      <c r="P173" s="129" t="e">
        <f t="shared" ref="P173:P185" si="27">F173-O173</f>
        <v>#VALUE!</v>
      </c>
      <c r="Q173" s="130" t="e">
        <f t="shared" ref="Q173:Q185" si="28">P173/O173</f>
        <v>#VALUE!</v>
      </c>
    </row>
    <row r="174" spans="1:17" x14ac:dyDescent="0.25">
      <c r="A174" s="120" t="s">
        <v>2074</v>
      </c>
      <c r="B174" s="120" t="s">
        <v>757</v>
      </c>
      <c r="C174" s="120" t="s">
        <v>352</v>
      </c>
      <c r="D174" s="117">
        <v>841</v>
      </c>
      <c r="E174" s="117">
        <f t="shared" si="24"/>
        <v>841</v>
      </c>
      <c r="F174" s="117" t="e">
        <v>#VALUE!</v>
      </c>
      <c r="G174" s="117" t="e">
        <f t="shared" si="25"/>
        <v>#VALUE!</v>
      </c>
      <c r="H174" s="117" t="e">
        <f t="shared" si="26"/>
        <v>#VALUE!</v>
      </c>
      <c r="I174" s="45"/>
      <c r="J174" s="135"/>
      <c r="O174" s="128">
        <v>-136.03</v>
      </c>
      <c r="P174" s="129" t="e">
        <f t="shared" si="27"/>
        <v>#VALUE!</v>
      </c>
      <c r="Q174" s="130" t="e">
        <f t="shared" si="28"/>
        <v>#VALUE!</v>
      </c>
    </row>
    <row r="175" spans="1:17" x14ac:dyDescent="0.25">
      <c r="A175" s="120" t="s">
        <v>2074</v>
      </c>
      <c r="B175" s="120" t="s">
        <v>757</v>
      </c>
      <c r="C175" s="120" t="s">
        <v>1048</v>
      </c>
      <c r="D175" s="117">
        <v>3152</v>
      </c>
      <c r="E175" s="117">
        <f t="shared" si="24"/>
        <v>3152</v>
      </c>
      <c r="F175" s="117" t="e">
        <v>#VALUE!</v>
      </c>
      <c r="G175" s="117" t="e">
        <f t="shared" si="25"/>
        <v>#VALUE!</v>
      </c>
      <c r="H175" s="117" t="e">
        <f t="shared" si="26"/>
        <v>#VALUE!</v>
      </c>
      <c r="I175" s="45"/>
      <c r="J175" s="135"/>
      <c r="O175" s="128">
        <v>4684.3900000000003</v>
      </c>
      <c r="P175" s="129" t="e">
        <f t="shared" si="27"/>
        <v>#VALUE!</v>
      </c>
      <c r="Q175" s="130" t="e">
        <f t="shared" si="28"/>
        <v>#VALUE!</v>
      </c>
    </row>
    <row r="176" spans="1:17" x14ac:dyDescent="0.25">
      <c r="A176" s="120" t="s">
        <v>2074</v>
      </c>
      <c r="B176" s="120" t="s">
        <v>757</v>
      </c>
      <c r="C176" s="120" t="s">
        <v>1069</v>
      </c>
      <c r="D176" s="117">
        <v>65</v>
      </c>
      <c r="E176" s="117">
        <f t="shared" si="24"/>
        <v>65</v>
      </c>
      <c r="F176" s="117" t="e">
        <v>#VALUE!</v>
      </c>
      <c r="G176" s="117" t="e">
        <f t="shared" si="25"/>
        <v>#VALUE!</v>
      </c>
      <c r="H176" s="117" t="e">
        <f t="shared" si="26"/>
        <v>#VALUE!</v>
      </c>
      <c r="I176" s="45"/>
      <c r="J176" s="135"/>
      <c r="O176" s="128">
        <v>-460.15</v>
      </c>
      <c r="P176" s="129" t="e">
        <f t="shared" si="27"/>
        <v>#VALUE!</v>
      </c>
      <c r="Q176" s="130" t="e">
        <f t="shared" si="28"/>
        <v>#VALUE!</v>
      </c>
    </row>
    <row r="177" spans="1:17" x14ac:dyDescent="0.25">
      <c r="A177" s="120" t="s">
        <v>2074</v>
      </c>
      <c r="B177" s="120" t="s">
        <v>757</v>
      </c>
      <c r="C177" s="120" t="s">
        <v>997</v>
      </c>
      <c r="D177" s="117">
        <v>216</v>
      </c>
      <c r="E177" s="117">
        <f t="shared" si="24"/>
        <v>216</v>
      </c>
      <c r="F177" s="117" t="e">
        <v>#VALUE!</v>
      </c>
      <c r="G177" s="117" t="e">
        <f t="shared" si="25"/>
        <v>#VALUE!</v>
      </c>
      <c r="H177" s="117" t="e">
        <f t="shared" si="26"/>
        <v>#VALUE!</v>
      </c>
      <c r="I177" s="45"/>
      <c r="J177" s="135"/>
      <c r="O177" s="128">
        <v>0</v>
      </c>
      <c r="P177" s="129" t="e">
        <f t="shared" si="27"/>
        <v>#VALUE!</v>
      </c>
      <c r="Q177" s="130" t="e">
        <f t="shared" si="28"/>
        <v>#VALUE!</v>
      </c>
    </row>
    <row r="178" spans="1:17" x14ac:dyDescent="0.25">
      <c r="A178" s="120" t="s">
        <v>2074</v>
      </c>
      <c r="B178" s="120" t="s">
        <v>757</v>
      </c>
      <c r="C178" s="120" t="s">
        <v>956</v>
      </c>
      <c r="D178" s="117">
        <v>0</v>
      </c>
      <c r="E178" s="117">
        <f t="shared" si="24"/>
        <v>0</v>
      </c>
      <c r="F178" s="117" t="e">
        <v>#VALUE!</v>
      </c>
      <c r="G178" s="117" t="e">
        <f t="shared" si="25"/>
        <v>#VALUE!</v>
      </c>
      <c r="H178" s="117" t="e">
        <f t="shared" si="26"/>
        <v>#VALUE!</v>
      </c>
      <c r="I178" s="45"/>
      <c r="J178" s="135"/>
      <c r="O178" s="128">
        <v>200</v>
      </c>
      <c r="P178" s="129" t="e">
        <f t="shared" si="27"/>
        <v>#VALUE!</v>
      </c>
      <c r="Q178" s="130" t="e">
        <f t="shared" si="28"/>
        <v>#VALUE!</v>
      </c>
    </row>
    <row r="179" spans="1:17" x14ac:dyDescent="0.25">
      <c r="A179" s="120" t="s">
        <v>2074</v>
      </c>
      <c r="B179" s="120" t="s">
        <v>757</v>
      </c>
      <c r="C179" s="120" t="s">
        <v>2194</v>
      </c>
      <c r="D179" s="117">
        <v>0</v>
      </c>
      <c r="E179" s="117">
        <f t="shared" si="24"/>
        <v>0</v>
      </c>
      <c r="F179" s="117" t="e">
        <v>#VALUE!</v>
      </c>
      <c r="G179" s="117" t="e">
        <f t="shared" si="25"/>
        <v>#VALUE!</v>
      </c>
      <c r="H179" s="117" t="e">
        <f t="shared" si="26"/>
        <v>#VALUE!</v>
      </c>
      <c r="I179" s="45"/>
      <c r="J179" s="135"/>
      <c r="O179" s="128"/>
      <c r="P179" s="129"/>
      <c r="Q179" s="130"/>
    </row>
    <row r="180" spans="1:17" x14ac:dyDescent="0.25">
      <c r="A180" s="120" t="s">
        <v>2074</v>
      </c>
      <c r="B180" s="120" t="s">
        <v>757</v>
      </c>
      <c r="C180" s="120" t="s">
        <v>1072</v>
      </c>
      <c r="D180" s="117">
        <v>1251</v>
      </c>
      <c r="E180" s="117">
        <f t="shared" si="24"/>
        <v>1251</v>
      </c>
      <c r="F180" s="117" t="e">
        <v>#VALUE!</v>
      </c>
      <c r="G180" s="117" t="e">
        <f t="shared" si="25"/>
        <v>#VALUE!</v>
      </c>
      <c r="H180" s="117" t="e">
        <f t="shared" si="26"/>
        <v>#VALUE!</v>
      </c>
      <c r="I180" s="45"/>
      <c r="J180" s="135"/>
      <c r="O180" s="128">
        <v>0</v>
      </c>
      <c r="P180" s="129" t="e">
        <f t="shared" si="27"/>
        <v>#VALUE!</v>
      </c>
      <c r="Q180" s="130" t="e">
        <f t="shared" si="28"/>
        <v>#VALUE!</v>
      </c>
    </row>
    <row r="181" spans="1:17" x14ac:dyDescent="0.25">
      <c r="A181" s="120" t="s">
        <v>2074</v>
      </c>
      <c r="B181" s="120" t="s">
        <v>757</v>
      </c>
      <c r="C181" s="120" t="s">
        <v>1066</v>
      </c>
      <c r="D181" s="117">
        <v>124</v>
      </c>
      <c r="E181" s="117">
        <f t="shared" si="24"/>
        <v>124</v>
      </c>
      <c r="F181" s="117" t="e">
        <v>#VALUE!</v>
      </c>
      <c r="G181" s="117" t="e">
        <f t="shared" si="25"/>
        <v>#VALUE!</v>
      </c>
      <c r="H181" s="117" t="e">
        <f t="shared" si="26"/>
        <v>#VALUE!</v>
      </c>
      <c r="I181" s="45"/>
      <c r="J181" s="135"/>
      <c r="O181" s="128">
        <v>16.170000000000002</v>
      </c>
      <c r="P181" s="129" t="e">
        <f t="shared" si="27"/>
        <v>#VALUE!</v>
      </c>
      <c r="Q181" s="130" t="e">
        <f t="shared" si="28"/>
        <v>#VALUE!</v>
      </c>
    </row>
    <row r="182" spans="1:17" x14ac:dyDescent="0.25">
      <c r="A182" s="120" t="s">
        <v>2074</v>
      </c>
      <c r="B182" s="120" t="s">
        <v>757</v>
      </c>
      <c r="C182" s="120" t="s">
        <v>945</v>
      </c>
      <c r="D182" s="117">
        <v>1051</v>
      </c>
      <c r="E182" s="117">
        <f t="shared" si="24"/>
        <v>1051</v>
      </c>
      <c r="F182" s="117" t="e">
        <v>#VALUE!</v>
      </c>
      <c r="G182" s="117" t="e">
        <f t="shared" si="25"/>
        <v>#VALUE!</v>
      </c>
      <c r="H182" s="117" t="e">
        <f t="shared" si="26"/>
        <v>#VALUE!</v>
      </c>
      <c r="I182" s="45"/>
      <c r="J182" s="135"/>
      <c r="O182" s="128">
        <v>1762.67</v>
      </c>
      <c r="P182" s="129" t="e">
        <f t="shared" si="27"/>
        <v>#VALUE!</v>
      </c>
      <c r="Q182" s="130" t="e">
        <f t="shared" si="28"/>
        <v>#VALUE!</v>
      </c>
    </row>
    <row r="183" spans="1:17" x14ac:dyDescent="0.25">
      <c r="A183" s="120" t="s">
        <v>2074</v>
      </c>
      <c r="B183" s="120" t="s">
        <v>757</v>
      </c>
      <c r="C183" s="120" t="s">
        <v>1097</v>
      </c>
      <c r="D183" s="117">
        <v>108</v>
      </c>
      <c r="E183" s="117">
        <f t="shared" si="24"/>
        <v>108</v>
      </c>
      <c r="F183" s="117" t="e">
        <v>#VALUE!</v>
      </c>
      <c r="G183" s="117" t="e">
        <f t="shared" si="25"/>
        <v>#VALUE!</v>
      </c>
      <c r="H183" s="117" t="e">
        <f t="shared" si="26"/>
        <v>#VALUE!</v>
      </c>
      <c r="I183" s="45"/>
      <c r="J183" s="135"/>
      <c r="O183" s="128">
        <v>287</v>
      </c>
      <c r="P183" s="129" t="e">
        <f t="shared" si="27"/>
        <v>#VALUE!</v>
      </c>
      <c r="Q183" s="130" t="e">
        <f t="shared" si="28"/>
        <v>#VALUE!</v>
      </c>
    </row>
    <row r="184" spans="1:17" x14ac:dyDescent="0.25">
      <c r="A184" s="120" t="s">
        <v>2074</v>
      </c>
      <c r="B184" s="120" t="s">
        <v>757</v>
      </c>
      <c r="C184" s="120" t="s">
        <v>1090</v>
      </c>
      <c r="D184" s="117">
        <v>4203</v>
      </c>
      <c r="E184" s="117">
        <f t="shared" si="24"/>
        <v>4203</v>
      </c>
      <c r="F184" s="117" t="e">
        <v>#VALUE!</v>
      </c>
      <c r="G184" s="117" t="e">
        <f t="shared" si="25"/>
        <v>#VALUE!</v>
      </c>
      <c r="H184" s="117" t="e">
        <f t="shared" si="26"/>
        <v>#VALUE!</v>
      </c>
      <c r="I184" s="45"/>
      <c r="J184" s="135"/>
      <c r="O184" s="128">
        <v>3032.99</v>
      </c>
      <c r="P184" s="129" t="e">
        <f t="shared" si="27"/>
        <v>#VALUE!</v>
      </c>
      <c r="Q184" s="130" t="e">
        <f t="shared" si="28"/>
        <v>#VALUE!</v>
      </c>
    </row>
    <row r="185" spans="1:17" ht="13" x14ac:dyDescent="0.3">
      <c r="C185" s="121" t="s">
        <v>2168</v>
      </c>
      <c r="D185" s="122">
        <f>SUM(D173:D184)</f>
        <v>11547</v>
      </c>
      <c r="E185" s="122">
        <f>SUM(E173:E184)</f>
        <v>11547</v>
      </c>
      <c r="F185" s="122" t="e">
        <f>SUM(F173:F184)</f>
        <v>#VALUE!</v>
      </c>
      <c r="G185" s="122" t="e">
        <f>SUM(G173:G184)</f>
        <v>#VALUE!</v>
      </c>
      <c r="H185" s="122" t="e">
        <f>SUM(H173:H184)</f>
        <v>#VALUE!</v>
      </c>
      <c r="I185" s="123"/>
      <c r="J185" s="135"/>
      <c r="O185" s="131">
        <v>9520.33</v>
      </c>
      <c r="P185" s="129" t="e">
        <f t="shared" si="27"/>
        <v>#VALUE!</v>
      </c>
      <c r="Q185" s="130" t="e">
        <f t="shared" si="28"/>
        <v>#VALUE!</v>
      </c>
    </row>
    <row r="186" spans="1:17" ht="13" x14ac:dyDescent="0.3">
      <c r="C186" s="121"/>
      <c r="D186" s="122"/>
      <c r="E186" s="122"/>
      <c r="F186" s="122"/>
      <c r="G186" s="122"/>
      <c r="H186" s="122"/>
      <c r="I186" s="123"/>
      <c r="J186" s="135"/>
      <c r="O186" s="131"/>
      <c r="P186" s="119"/>
      <c r="Q186" s="119"/>
    </row>
    <row r="187" spans="1:17" x14ac:dyDescent="0.25">
      <c r="A187" s="120" t="s">
        <v>2074</v>
      </c>
      <c r="B187" s="120" t="s">
        <v>781</v>
      </c>
      <c r="C187" s="120" t="s">
        <v>781</v>
      </c>
      <c r="D187" s="117">
        <v>54076</v>
      </c>
      <c r="E187" s="117">
        <v>54076</v>
      </c>
      <c r="F187" s="117" t="e">
        <v>#VALUE!</v>
      </c>
      <c r="G187" s="117" t="e">
        <f>F187-D187</f>
        <v>#VALUE!</v>
      </c>
      <c r="H187" s="117" t="e">
        <f>F187-E187</f>
        <v>#VALUE!</v>
      </c>
      <c r="I187" s="45"/>
      <c r="J187" s="135"/>
      <c r="O187" s="128">
        <v>56119</v>
      </c>
      <c r="P187" s="129" t="e">
        <f>F187-O187</f>
        <v>#VALUE!</v>
      </c>
      <c r="Q187" s="130" t="e">
        <f>P187/O187</f>
        <v>#VALUE!</v>
      </c>
    </row>
    <row r="188" spans="1:17" ht="13" x14ac:dyDescent="0.3">
      <c r="C188" s="121" t="s">
        <v>2169</v>
      </c>
      <c r="D188" s="122">
        <f>SUM(D187)</f>
        <v>54076</v>
      </c>
      <c r="E188" s="122">
        <f>SUM(E187)</f>
        <v>54076</v>
      </c>
      <c r="F188" s="122" t="e">
        <f>SUM(F187)</f>
        <v>#VALUE!</v>
      </c>
      <c r="G188" s="122" t="e">
        <f>SUM(G187)</f>
        <v>#VALUE!</v>
      </c>
      <c r="H188" s="122" t="e">
        <f>SUM(H187)</f>
        <v>#VALUE!</v>
      </c>
      <c r="I188" s="123"/>
      <c r="J188" s="135"/>
      <c r="O188" s="131">
        <v>56119</v>
      </c>
      <c r="P188" s="129" t="e">
        <f>F188-O188</f>
        <v>#VALUE!</v>
      </c>
      <c r="Q188" s="130" t="e">
        <f>P188/O188</f>
        <v>#VALUE!</v>
      </c>
    </row>
    <row r="189" spans="1:17" x14ac:dyDescent="0.25">
      <c r="D189" s="117"/>
      <c r="E189" s="117"/>
      <c r="F189" s="117"/>
      <c r="G189" s="117"/>
      <c r="H189" s="117"/>
      <c r="I189" s="45"/>
      <c r="J189" s="135"/>
      <c r="O189" s="128"/>
      <c r="P189" s="119"/>
      <c r="Q189" s="119"/>
    </row>
    <row r="190" spans="1:17" x14ac:dyDescent="0.25">
      <c r="A190" s="120" t="s">
        <v>2074</v>
      </c>
      <c r="B190" s="120" t="s">
        <v>2180</v>
      </c>
      <c r="C190" s="120" t="s">
        <v>1099</v>
      </c>
      <c r="D190" s="117"/>
      <c r="E190" s="117"/>
      <c r="F190" s="117" t="e">
        <v>#VALUE!</v>
      </c>
      <c r="G190" s="117" t="e">
        <f>F190-D190</f>
        <v>#VALUE!</v>
      </c>
      <c r="H190" s="117" t="e">
        <f>F190-E190</f>
        <v>#VALUE!</v>
      </c>
      <c r="I190" s="45"/>
      <c r="J190" s="135"/>
      <c r="O190" s="128">
        <v>0</v>
      </c>
      <c r="P190" s="129" t="e">
        <f>F190-O190</f>
        <v>#VALUE!</v>
      </c>
      <c r="Q190" s="130" t="e">
        <f>P190/O190</f>
        <v>#VALUE!</v>
      </c>
    </row>
    <row r="191" spans="1:17" x14ac:dyDescent="0.25">
      <c r="A191" s="120" t="s">
        <v>2074</v>
      </c>
      <c r="B191" s="120" t="s">
        <v>2180</v>
      </c>
      <c r="C191" s="120" t="s">
        <v>2195</v>
      </c>
      <c r="D191" s="117"/>
      <c r="E191" s="117"/>
      <c r="F191" s="117" t="e">
        <v>#VALUE!</v>
      </c>
      <c r="G191" s="117" t="e">
        <f>F191-D191</f>
        <v>#VALUE!</v>
      </c>
      <c r="H191" s="117" t="e">
        <f>F191-E191</f>
        <v>#VALUE!</v>
      </c>
      <c r="I191" s="45"/>
      <c r="J191" s="135"/>
      <c r="O191" s="128">
        <v>0</v>
      </c>
      <c r="P191" s="129" t="e">
        <f>F191-O191</f>
        <v>#VALUE!</v>
      </c>
      <c r="Q191" s="130" t="e">
        <f>P191/O191</f>
        <v>#VALUE!</v>
      </c>
    </row>
    <row r="192" spans="1:17" x14ac:dyDescent="0.25">
      <c r="A192" s="120" t="s">
        <v>2074</v>
      </c>
      <c r="B192" s="120" t="s">
        <v>2180</v>
      </c>
      <c r="C192" s="120" t="s">
        <v>1101</v>
      </c>
      <c r="D192" s="117">
        <v>100000</v>
      </c>
      <c r="E192" s="117">
        <v>60000</v>
      </c>
      <c r="F192" s="117" t="e">
        <v>#VALUE!</v>
      </c>
      <c r="G192" s="117" t="e">
        <f>F192-D192</f>
        <v>#VALUE!</v>
      </c>
      <c r="H192" s="117" t="e">
        <f>F192-E192</f>
        <v>#VALUE!</v>
      </c>
      <c r="I192" s="45"/>
      <c r="J192" s="135"/>
      <c r="O192" s="128">
        <v>0</v>
      </c>
      <c r="P192" s="129" t="e">
        <f>F192-O192</f>
        <v>#VALUE!</v>
      </c>
      <c r="Q192" s="130" t="e">
        <f>P192/O192</f>
        <v>#VALUE!</v>
      </c>
    </row>
    <row r="193" spans="1:17" x14ac:dyDescent="0.25">
      <c r="A193" s="120" t="s">
        <v>2074</v>
      </c>
      <c r="B193" s="120" t="s">
        <v>2180</v>
      </c>
      <c r="C193" s="120" t="s">
        <v>290</v>
      </c>
      <c r="D193" s="117">
        <v>0</v>
      </c>
      <c r="E193" s="117">
        <f>D193</f>
        <v>0</v>
      </c>
      <c r="F193" s="117" t="e">
        <v>#VALUE!</v>
      </c>
      <c r="G193" s="117" t="e">
        <f>F193-D193</f>
        <v>#VALUE!</v>
      </c>
      <c r="H193" s="117" t="e">
        <f>F193-E193</f>
        <v>#VALUE!</v>
      </c>
      <c r="I193" s="45"/>
      <c r="J193" s="135"/>
      <c r="O193" s="128">
        <v>15505</v>
      </c>
      <c r="P193" s="129" t="e">
        <f>F193-O193</f>
        <v>#VALUE!</v>
      </c>
      <c r="Q193" s="130" t="e">
        <f>P193/O193</f>
        <v>#VALUE!</v>
      </c>
    </row>
    <row r="194" spans="1:17" ht="13" x14ac:dyDescent="0.3">
      <c r="C194" s="121" t="s">
        <v>2184</v>
      </c>
      <c r="D194" s="122">
        <f>SUM(D190:D193)</f>
        <v>100000</v>
      </c>
      <c r="E194" s="122">
        <f>SUM(E190:E193)</f>
        <v>60000</v>
      </c>
      <c r="F194" s="122" t="e">
        <f>SUM(F190:F193)</f>
        <v>#VALUE!</v>
      </c>
      <c r="G194" s="122" t="e">
        <f>SUM(G190:G193)</f>
        <v>#VALUE!</v>
      </c>
      <c r="H194" s="122" t="e">
        <f>SUM(H190:H193)</f>
        <v>#VALUE!</v>
      </c>
      <c r="I194" s="123"/>
      <c r="J194" s="135"/>
      <c r="O194" s="136">
        <v>15505</v>
      </c>
      <c r="P194" s="129" t="e">
        <f>F194-O194</f>
        <v>#VALUE!</v>
      </c>
      <c r="Q194" s="130" t="e">
        <f>P194/O194</f>
        <v>#VALUE!</v>
      </c>
    </row>
    <row r="195" spans="1:17" x14ac:dyDescent="0.25">
      <c r="D195" s="117"/>
      <c r="E195" s="117"/>
      <c r="F195" s="117"/>
      <c r="G195" s="117"/>
      <c r="H195" s="117"/>
      <c r="I195" s="45"/>
      <c r="J195" s="135"/>
      <c r="O195" s="128"/>
      <c r="P195" s="119"/>
      <c r="Q195" s="119"/>
    </row>
    <row r="196" spans="1:17" x14ac:dyDescent="0.25">
      <c r="A196" s="120" t="s">
        <v>2074</v>
      </c>
      <c r="B196" s="120" t="s">
        <v>782</v>
      </c>
      <c r="C196" s="120" t="s">
        <v>784</v>
      </c>
      <c r="D196" s="117"/>
      <c r="E196" s="117"/>
      <c r="F196" s="117" t="e">
        <v>#VALUE!</v>
      </c>
      <c r="G196" s="117" t="e">
        <f>F196-D196</f>
        <v>#VALUE!</v>
      </c>
      <c r="H196" s="117" t="e">
        <f>F196-E196</f>
        <v>#VALUE!</v>
      </c>
      <c r="I196" s="45"/>
      <c r="J196" s="135"/>
      <c r="O196" s="128">
        <v>30431.43</v>
      </c>
      <c r="P196" s="129" t="e">
        <f>F196-O196</f>
        <v>#VALUE!</v>
      </c>
      <c r="Q196" s="130" t="e">
        <f>P196/O196</f>
        <v>#VALUE!</v>
      </c>
    </row>
    <row r="197" spans="1:17" x14ac:dyDescent="0.25">
      <c r="A197" s="120" t="s">
        <v>2074</v>
      </c>
      <c r="B197" s="120" t="s">
        <v>782</v>
      </c>
      <c r="C197" s="120" t="s">
        <v>783</v>
      </c>
      <c r="D197" s="117"/>
      <c r="E197" s="117"/>
      <c r="F197" s="117" t="e">
        <v>#VALUE!</v>
      </c>
      <c r="G197" s="117" t="e">
        <f>F197-D197</f>
        <v>#VALUE!</v>
      </c>
      <c r="H197" s="117" t="e">
        <f>F197-E197</f>
        <v>#VALUE!</v>
      </c>
      <c r="I197" s="45"/>
      <c r="J197" s="135"/>
      <c r="O197" s="128">
        <v>64333.57</v>
      </c>
      <c r="P197" s="129" t="e">
        <f>F197-O197</f>
        <v>#VALUE!</v>
      </c>
      <c r="Q197" s="130" t="e">
        <f>P197/O197</f>
        <v>#VALUE!</v>
      </c>
    </row>
    <row r="198" spans="1:17" ht="13" x14ac:dyDescent="0.3">
      <c r="C198" s="121" t="s">
        <v>2170</v>
      </c>
      <c r="D198" s="122">
        <f>SUM(D196:D197)</f>
        <v>0</v>
      </c>
      <c r="E198" s="122">
        <f>SUM(E196:E197)</f>
        <v>0</v>
      </c>
      <c r="F198" s="122" t="e">
        <f>SUM(F196:F197)</f>
        <v>#VALUE!</v>
      </c>
      <c r="G198" s="122" t="e">
        <f>SUM(G196:G197)</f>
        <v>#VALUE!</v>
      </c>
      <c r="H198" s="122" t="e">
        <f>SUM(H196:H197)</f>
        <v>#VALUE!</v>
      </c>
      <c r="I198" s="123"/>
      <c r="J198" s="135"/>
      <c r="O198" s="131">
        <v>94765</v>
      </c>
      <c r="P198" s="129" t="e">
        <f>F198-O198</f>
        <v>#VALUE!</v>
      </c>
      <c r="Q198" s="130" t="e">
        <f>P198/O198</f>
        <v>#VALUE!</v>
      </c>
    </row>
    <row r="199" spans="1:17" x14ac:dyDescent="0.25">
      <c r="D199" s="117"/>
      <c r="E199" s="117"/>
      <c r="F199" s="117"/>
      <c r="G199" s="117"/>
      <c r="H199" s="117"/>
      <c r="I199" s="45"/>
      <c r="J199" s="135"/>
      <c r="O199" s="128"/>
      <c r="P199" s="119"/>
      <c r="Q199" s="119"/>
    </row>
    <row r="200" spans="1:17" x14ac:dyDescent="0.25">
      <c r="A200" s="120" t="s">
        <v>2074</v>
      </c>
      <c r="B200" s="120" t="s">
        <v>2171</v>
      </c>
      <c r="C200" s="120" t="s">
        <v>966</v>
      </c>
      <c r="D200" s="117">
        <v>-70000</v>
      </c>
      <c r="E200" s="117">
        <v>-74000</v>
      </c>
      <c r="F200" s="117" t="e">
        <v>#VALUE!</v>
      </c>
      <c r="G200" s="117" t="e">
        <f>F200-D200</f>
        <v>#VALUE!</v>
      </c>
      <c r="H200" s="117" t="e">
        <f>F200-E200</f>
        <v>#VALUE!</v>
      </c>
      <c r="I200" s="45"/>
      <c r="J200" s="135"/>
      <c r="O200" s="128">
        <v>-72191.210000000006</v>
      </c>
      <c r="P200" s="129" t="e">
        <f>F200-O200</f>
        <v>#VALUE!</v>
      </c>
      <c r="Q200" s="130" t="e">
        <f>P200/O200</f>
        <v>#VALUE!</v>
      </c>
    </row>
    <row r="201" spans="1:17" x14ac:dyDescent="0.25">
      <c r="A201" s="120" t="s">
        <v>2074</v>
      </c>
      <c r="B201" s="120" t="s">
        <v>2171</v>
      </c>
      <c r="C201" s="120" t="s">
        <v>978</v>
      </c>
      <c r="D201" s="117">
        <v>-50</v>
      </c>
      <c r="E201" s="117">
        <v>-50</v>
      </c>
      <c r="F201" s="117" t="e">
        <v>#VALUE!</v>
      </c>
      <c r="G201" s="117" t="e">
        <f>F201-D201</f>
        <v>#VALUE!</v>
      </c>
      <c r="H201" s="117" t="e">
        <f>F201-E201</f>
        <v>#VALUE!</v>
      </c>
      <c r="I201" s="45"/>
      <c r="J201" s="135"/>
      <c r="O201" s="128">
        <v>-664.38</v>
      </c>
      <c r="P201" s="129" t="e">
        <f>F201-O201</f>
        <v>#VALUE!</v>
      </c>
      <c r="Q201" s="130" t="e">
        <f>P201/O201</f>
        <v>#VALUE!</v>
      </c>
    </row>
    <row r="202" spans="1:17" x14ac:dyDescent="0.25">
      <c r="A202" s="120" t="s">
        <v>2074</v>
      </c>
      <c r="B202" s="120" t="s">
        <v>2171</v>
      </c>
      <c r="C202" s="120" t="s">
        <v>980</v>
      </c>
      <c r="D202" s="117">
        <v>-5532</v>
      </c>
      <c r="E202" s="117">
        <v>-6288</v>
      </c>
      <c r="F202" s="117" t="e">
        <v>#VALUE!</v>
      </c>
      <c r="G202" s="117" t="e">
        <f>F202-D202</f>
        <v>#VALUE!</v>
      </c>
      <c r="H202" s="117" t="e">
        <f>F202-E202</f>
        <v>#VALUE!</v>
      </c>
      <c r="I202" s="45"/>
      <c r="J202" s="135"/>
      <c r="O202" s="128">
        <v>-4320</v>
      </c>
      <c r="P202" s="129" t="e">
        <f>F202-O202</f>
        <v>#VALUE!</v>
      </c>
      <c r="Q202" s="130" t="e">
        <f>P202/O202</f>
        <v>#VALUE!</v>
      </c>
    </row>
    <row r="203" spans="1:17" x14ac:dyDescent="0.25">
      <c r="A203" s="120" t="s">
        <v>2074</v>
      </c>
      <c r="B203" s="120" t="s">
        <v>2171</v>
      </c>
      <c r="C203" s="120" t="s">
        <v>983</v>
      </c>
      <c r="D203" s="117">
        <v>-533</v>
      </c>
      <c r="E203" s="117">
        <v>-533</v>
      </c>
      <c r="F203" s="117" t="e">
        <v>#VALUE!</v>
      </c>
      <c r="G203" s="117" t="e">
        <f>F203-D203</f>
        <v>#VALUE!</v>
      </c>
      <c r="H203" s="117" t="e">
        <f>F203-E203</f>
        <v>#VALUE!</v>
      </c>
      <c r="I203" s="45"/>
      <c r="J203" s="135"/>
      <c r="O203" s="128">
        <v>-1232.5</v>
      </c>
      <c r="P203" s="129" t="e">
        <f>F203-O203</f>
        <v>#VALUE!</v>
      </c>
      <c r="Q203" s="130" t="e">
        <f>P203/O203</f>
        <v>#VALUE!</v>
      </c>
    </row>
    <row r="204" spans="1:17" ht="13" x14ac:dyDescent="0.3">
      <c r="C204" s="121" t="s">
        <v>2172</v>
      </c>
      <c r="D204" s="122">
        <f>SUM(D200:D203)</f>
        <v>-76115</v>
      </c>
      <c r="E204" s="122">
        <f>SUM(E200:E203)</f>
        <v>-80871</v>
      </c>
      <c r="F204" s="122" t="e">
        <f>SUM(F200:F203)</f>
        <v>#VALUE!</v>
      </c>
      <c r="G204" s="122" t="e">
        <f>SUM(G200:G203)</f>
        <v>#VALUE!</v>
      </c>
      <c r="H204" s="122" t="e">
        <f>SUM(H200:H203)</f>
        <v>#VALUE!</v>
      </c>
      <c r="I204" s="123"/>
      <c r="J204" s="135"/>
      <c r="O204" s="131">
        <v>-78408.09</v>
      </c>
      <c r="P204" s="129" t="e">
        <f>F204-O204</f>
        <v>#VALUE!</v>
      </c>
      <c r="Q204" s="130" t="e">
        <f>P204/O204</f>
        <v>#VALUE!</v>
      </c>
    </row>
    <row r="205" spans="1:17" x14ac:dyDescent="0.25">
      <c r="D205" s="117"/>
      <c r="E205" s="117"/>
      <c r="F205" s="117"/>
      <c r="G205" s="117"/>
      <c r="H205" s="117"/>
      <c r="I205" s="45"/>
      <c r="J205" s="135"/>
      <c r="O205" s="128"/>
      <c r="P205" s="119"/>
      <c r="Q205" s="119"/>
    </row>
    <row r="206" spans="1:17" ht="13" x14ac:dyDescent="0.3">
      <c r="C206" s="121" t="s">
        <v>2196</v>
      </c>
      <c r="D206" s="122">
        <f>+D204+D198+D194+D188+D185+D171+D167+D154</f>
        <v>232485</v>
      </c>
      <c r="E206" s="122">
        <f>+E204+E198+E194+E188+E185+E171+E167+E154</f>
        <v>201184</v>
      </c>
      <c r="F206" s="122" t="e">
        <f>+F204+F198+F194+F188+F185+F171+F167+F154</f>
        <v>#VALUE!</v>
      </c>
      <c r="G206" s="122" t="e">
        <f>+G204+G198+G194+G188+G185+G171+G167+G154</f>
        <v>#VALUE!</v>
      </c>
      <c r="H206" s="122" t="e">
        <f>+H204+H198+H194+H188+H185+H171+H167+H154</f>
        <v>#VALUE!</v>
      </c>
      <c r="I206" s="123"/>
      <c r="J206" s="135"/>
      <c r="O206" s="131">
        <v>219725.88</v>
      </c>
      <c r="P206" s="129" t="e">
        <f>F206-O206</f>
        <v>#VALUE!</v>
      </c>
      <c r="Q206" s="130" t="e">
        <f>P206/O206</f>
        <v>#VALUE!</v>
      </c>
    </row>
    <row r="207" spans="1:17" x14ac:dyDescent="0.25">
      <c r="D207" s="117"/>
      <c r="E207" s="117"/>
      <c r="F207" s="117"/>
      <c r="G207" s="117"/>
      <c r="H207" s="117"/>
      <c r="I207" s="45"/>
      <c r="J207" s="135"/>
      <c r="O207" s="128"/>
      <c r="P207" s="119"/>
      <c r="Q207" s="119"/>
    </row>
    <row r="208" spans="1:17" x14ac:dyDescent="0.25">
      <c r="C208" s="178" t="s">
        <v>631</v>
      </c>
      <c r="D208" s="117"/>
      <c r="E208" s="117"/>
      <c r="F208" s="117"/>
      <c r="G208" s="117"/>
      <c r="H208" s="117"/>
      <c r="I208" s="45"/>
      <c r="J208" s="135"/>
      <c r="O208" s="128"/>
      <c r="P208" s="119"/>
      <c r="Q208" s="119"/>
    </row>
    <row r="209" spans="1:17" x14ac:dyDescent="0.25">
      <c r="D209" s="117"/>
      <c r="E209" s="117"/>
      <c r="F209" s="117"/>
      <c r="G209" s="117"/>
      <c r="H209" s="117"/>
      <c r="I209" s="45"/>
      <c r="O209" s="118"/>
      <c r="P209" s="119"/>
      <c r="Q209" s="119"/>
    </row>
    <row r="210" spans="1:17" x14ac:dyDescent="0.25">
      <c r="A210" s="120" t="s">
        <v>2197</v>
      </c>
      <c r="B210" s="120" t="s">
        <v>757</v>
      </c>
      <c r="C210" s="120" t="s">
        <v>1087</v>
      </c>
      <c r="D210" s="117">
        <v>3198</v>
      </c>
      <c r="E210" s="117">
        <v>3198</v>
      </c>
      <c r="F210" s="117" t="e">
        <v>#VALUE!</v>
      </c>
      <c r="G210" s="117" t="e">
        <f t="shared" ref="G210:G219" si="29">F210-D210</f>
        <v>#VALUE!</v>
      </c>
      <c r="H210" s="117" t="e">
        <f t="shared" ref="H210:H219" si="30">F210-E210</f>
        <v>#VALUE!</v>
      </c>
      <c r="I210" s="45"/>
      <c r="J210" s="135"/>
      <c r="O210" s="128">
        <v>3536.59</v>
      </c>
      <c r="P210" s="129" t="e">
        <f t="shared" ref="P210:P220" si="31">F210-O210</f>
        <v>#VALUE!</v>
      </c>
      <c r="Q210" s="130" t="e">
        <f t="shared" ref="Q210:Q220" si="32">P210/O210</f>
        <v>#VALUE!</v>
      </c>
    </row>
    <row r="211" spans="1:17" x14ac:dyDescent="0.25">
      <c r="A211" s="120" t="s">
        <v>2197</v>
      </c>
      <c r="B211" s="120" t="s">
        <v>757</v>
      </c>
      <c r="C211" s="120" t="s">
        <v>2198</v>
      </c>
      <c r="D211" s="117">
        <v>5002</v>
      </c>
      <c r="E211" s="117">
        <v>5002</v>
      </c>
      <c r="F211" s="117" t="e">
        <v>#VALUE!</v>
      </c>
      <c r="G211" s="117" t="e">
        <f t="shared" si="29"/>
        <v>#VALUE!</v>
      </c>
      <c r="H211" s="117" t="e">
        <f t="shared" si="30"/>
        <v>#VALUE!</v>
      </c>
      <c r="I211" s="45"/>
      <c r="J211" s="135"/>
      <c r="O211" s="128"/>
      <c r="P211" s="129"/>
      <c r="Q211" s="130"/>
    </row>
    <row r="212" spans="1:17" x14ac:dyDescent="0.25">
      <c r="A212" s="120" t="s">
        <v>2197</v>
      </c>
      <c r="B212" s="120" t="s">
        <v>757</v>
      </c>
      <c r="C212" s="120" t="s">
        <v>2240</v>
      </c>
      <c r="D212" s="117">
        <v>1000</v>
      </c>
      <c r="E212" s="117">
        <v>1000</v>
      </c>
      <c r="F212" s="117" t="e">
        <v>#VALUE!</v>
      </c>
      <c r="G212" s="117" t="e">
        <f t="shared" si="29"/>
        <v>#VALUE!</v>
      </c>
      <c r="H212" s="117" t="e">
        <f t="shared" si="30"/>
        <v>#VALUE!</v>
      </c>
      <c r="I212" s="45"/>
      <c r="J212" s="135"/>
      <c r="O212" s="128"/>
      <c r="P212" s="129"/>
      <c r="Q212" s="130"/>
    </row>
    <row r="213" spans="1:17" x14ac:dyDescent="0.25">
      <c r="A213" s="120" t="s">
        <v>2197</v>
      </c>
      <c r="B213" s="120" t="s">
        <v>757</v>
      </c>
      <c r="C213" s="120" t="s">
        <v>2241</v>
      </c>
      <c r="D213" s="117">
        <v>1000</v>
      </c>
      <c r="E213" s="117">
        <v>1000</v>
      </c>
      <c r="F213" s="117" t="e">
        <v>#VALUE!</v>
      </c>
      <c r="G213" s="117" t="e">
        <f t="shared" si="29"/>
        <v>#VALUE!</v>
      </c>
      <c r="H213" s="117" t="e">
        <f t="shared" si="30"/>
        <v>#VALUE!</v>
      </c>
      <c r="I213" s="45"/>
      <c r="J213" s="135"/>
      <c r="O213" s="128"/>
      <c r="P213" s="129"/>
      <c r="Q213" s="130"/>
    </row>
    <row r="214" spans="1:17" x14ac:dyDescent="0.25">
      <c r="A214" s="120" t="s">
        <v>2197</v>
      </c>
      <c r="B214" s="120" t="s">
        <v>757</v>
      </c>
      <c r="C214" s="120" t="s">
        <v>2242</v>
      </c>
      <c r="D214" s="117">
        <v>4000</v>
      </c>
      <c r="E214" s="117">
        <v>5500</v>
      </c>
      <c r="F214" s="117" t="e">
        <v>#VALUE!</v>
      </c>
      <c r="G214" s="117" t="e">
        <f t="shared" si="29"/>
        <v>#VALUE!</v>
      </c>
      <c r="H214" s="117" t="e">
        <f t="shared" si="30"/>
        <v>#VALUE!</v>
      </c>
      <c r="I214" s="45"/>
      <c r="J214" s="135"/>
      <c r="O214" s="128"/>
      <c r="P214" s="129"/>
      <c r="Q214" s="130"/>
    </row>
    <row r="215" spans="1:17" x14ac:dyDescent="0.25">
      <c r="A215" s="120" t="s">
        <v>2197</v>
      </c>
      <c r="B215" s="120" t="s">
        <v>757</v>
      </c>
      <c r="C215" s="120" t="s">
        <v>1080</v>
      </c>
      <c r="D215" s="117"/>
      <c r="E215" s="117"/>
      <c r="F215" s="117" t="e">
        <v>#VALUE!</v>
      </c>
      <c r="G215" s="117" t="e">
        <f t="shared" si="29"/>
        <v>#VALUE!</v>
      </c>
      <c r="H215" s="117" t="e">
        <f t="shared" si="30"/>
        <v>#VALUE!</v>
      </c>
      <c r="I215" s="45"/>
      <c r="J215" s="135"/>
      <c r="O215" s="128">
        <v>0</v>
      </c>
      <c r="P215" s="129" t="e">
        <f t="shared" si="31"/>
        <v>#VALUE!</v>
      </c>
      <c r="Q215" s="130" t="e">
        <f t="shared" si="32"/>
        <v>#VALUE!</v>
      </c>
    </row>
    <row r="216" spans="1:17" x14ac:dyDescent="0.25">
      <c r="A216" s="120" t="s">
        <v>2197</v>
      </c>
      <c r="B216" s="120" t="s">
        <v>757</v>
      </c>
      <c r="C216" s="120" t="s">
        <v>1082</v>
      </c>
      <c r="D216" s="117"/>
      <c r="E216" s="117"/>
      <c r="F216" s="117" t="e">
        <v>#VALUE!</v>
      </c>
      <c r="G216" s="117" t="e">
        <f t="shared" si="29"/>
        <v>#VALUE!</v>
      </c>
      <c r="H216" s="117" t="e">
        <f t="shared" si="30"/>
        <v>#VALUE!</v>
      </c>
      <c r="I216" s="45"/>
      <c r="J216" s="135"/>
      <c r="O216" s="128">
        <v>667.46</v>
      </c>
      <c r="P216" s="129" t="e">
        <f t="shared" si="31"/>
        <v>#VALUE!</v>
      </c>
      <c r="Q216" s="130" t="e">
        <f t="shared" si="32"/>
        <v>#VALUE!</v>
      </c>
    </row>
    <row r="217" spans="1:17" x14ac:dyDescent="0.25">
      <c r="A217" s="120" t="s">
        <v>2197</v>
      </c>
      <c r="B217" s="120" t="s">
        <v>757</v>
      </c>
      <c r="C217" s="120" t="s">
        <v>1078</v>
      </c>
      <c r="D217" s="117"/>
      <c r="E217" s="117"/>
      <c r="F217" s="117" t="e">
        <v>#VALUE!</v>
      </c>
      <c r="G217" s="117" t="e">
        <f t="shared" si="29"/>
        <v>#VALUE!</v>
      </c>
      <c r="H217" s="117" t="e">
        <f t="shared" si="30"/>
        <v>#VALUE!</v>
      </c>
      <c r="I217" s="45"/>
      <c r="J217" s="135"/>
      <c r="O217" s="128">
        <v>0</v>
      </c>
      <c r="P217" s="129" t="e">
        <f t="shared" si="31"/>
        <v>#VALUE!</v>
      </c>
      <c r="Q217" s="130" t="e">
        <f t="shared" si="32"/>
        <v>#VALUE!</v>
      </c>
    </row>
    <row r="218" spans="1:17" x14ac:dyDescent="0.25">
      <c r="A218" s="120" t="s">
        <v>2197</v>
      </c>
      <c r="B218" s="120" t="s">
        <v>757</v>
      </c>
      <c r="C218" s="120" t="s">
        <v>2199</v>
      </c>
      <c r="D218" s="117"/>
      <c r="E218" s="117"/>
      <c r="F218" s="117" t="e">
        <v>#VALUE!</v>
      </c>
      <c r="G218" s="117" t="e">
        <f t="shared" si="29"/>
        <v>#VALUE!</v>
      </c>
      <c r="H218" s="117" t="e">
        <f t="shared" si="30"/>
        <v>#VALUE!</v>
      </c>
      <c r="I218" s="45"/>
      <c r="J218" s="135"/>
      <c r="O218" s="128">
        <v>7073.43</v>
      </c>
      <c r="P218" s="129" t="e">
        <f t="shared" si="31"/>
        <v>#VALUE!</v>
      </c>
      <c r="Q218" s="130" t="e">
        <f t="shared" si="32"/>
        <v>#VALUE!</v>
      </c>
    </row>
    <row r="219" spans="1:17" x14ac:dyDescent="0.25">
      <c r="A219" s="120" t="s">
        <v>2197</v>
      </c>
      <c r="B219" s="120" t="s">
        <v>757</v>
      </c>
      <c r="C219" s="120" t="s">
        <v>2200</v>
      </c>
      <c r="D219" s="117"/>
      <c r="E219" s="117"/>
      <c r="F219" s="117" t="e">
        <v>#VALUE!</v>
      </c>
      <c r="G219" s="117" t="e">
        <f t="shared" si="29"/>
        <v>#VALUE!</v>
      </c>
      <c r="H219" s="117" t="e">
        <f t="shared" si="30"/>
        <v>#VALUE!</v>
      </c>
      <c r="I219" s="45"/>
      <c r="J219" s="135"/>
      <c r="O219" s="128">
        <v>2567.02</v>
      </c>
      <c r="P219" s="129" t="e">
        <f t="shared" si="31"/>
        <v>#VALUE!</v>
      </c>
      <c r="Q219" s="130" t="e">
        <f t="shared" si="32"/>
        <v>#VALUE!</v>
      </c>
    </row>
    <row r="220" spans="1:17" ht="13" x14ac:dyDescent="0.3">
      <c r="C220" s="121" t="s">
        <v>2168</v>
      </c>
      <c r="D220" s="122">
        <f>SUM(D210:D219)</f>
        <v>14200</v>
      </c>
      <c r="E220" s="122">
        <f>SUM(E210:E219)</f>
        <v>15700</v>
      </c>
      <c r="F220" s="122" t="e">
        <f>SUM(F210:F219)</f>
        <v>#VALUE!</v>
      </c>
      <c r="G220" s="122" t="e">
        <f>SUM(G210:G219)</f>
        <v>#VALUE!</v>
      </c>
      <c r="H220" s="122" t="e">
        <f>SUM(H210:H219)</f>
        <v>#VALUE!</v>
      </c>
      <c r="I220" s="123"/>
      <c r="J220" s="135"/>
      <c r="O220" s="131">
        <v>29284.75</v>
      </c>
      <c r="P220" s="129" t="e">
        <f t="shared" si="31"/>
        <v>#VALUE!</v>
      </c>
      <c r="Q220" s="130" t="e">
        <f t="shared" si="32"/>
        <v>#VALUE!</v>
      </c>
    </row>
    <row r="221" spans="1:17" ht="13" x14ac:dyDescent="0.3">
      <c r="C221" s="121"/>
      <c r="D221" s="122"/>
      <c r="E221" s="122"/>
      <c r="F221" s="122"/>
      <c r="G221" s="122"/>
      <c r="H221" s="122"/>
      <c r="I221" s="123"/>
      <c r="J221" s="135"/>
      <c r="O221" s="131"/>
      <c r="P221" s="129"/>
      <c r="Q221" s="130"/>
    </row>
    <row r="222" spans="1:17" x14ac:dyDescent="0.25">
      <c r="A222" s="120" t="s">
        <v>2197</v>
      </c>
      <c r="B222" s="120" t="s">
        <v>757</v>
      </c>
      <c r="C222" s="120" t="s">
        <v>1076</v>
      </c>
      <c r="D222" s="117">
        <v>18235</v>
      </c>
      <c r="E222" s="117">
        <f>D222</f>
        <v>18235</v>
      </c>
      <c r="F222" s="117" t="e">
        <v>#VALUE!</v>
      </c>
      <c r="G222" s="117" t="e">
        <f>F222-D222</f>
        <v>#VALUE!</v>
      </c>
      <c r="H222" s="117" t="e">
        <f>F222-E222</f>
        <v>#VALUE!</v>
      </c>
      <c r="I222" s="45"/>
      <c r="J222" s="135"/>
      <c r="O222" s="128">
        <v>15440.25</v>
      </c>
      <c r="P222" s="129" t="e">
        <f>F222-O222</f>
        <v>#VALUE!</v>
      </c>
      <c r="Q222" s="130" t="e">
        <f>P222/O222</f>
        <v>#VALUE!</v>
      </c>
    </row>
    <row r="223" spans="1:17" ht="13" x14ac:dyDescent="0.3">
      <c r="C223" s="121" t="s">
        <v>2179</v>
      </c>
      <c r="D223" s="122">
        <f>SUM(D222:D222)</f>
        <v>18235</v>
      </c>
      <c r="E223" s="122">
        <f>SUM(E222:E222)</f>
        <v>18235</v>
      </c>
      <c r="F223" s="122" t="e">
        <f>SUM(F222:F222)</f>
        <v>#VALUE!</v>
      </c>
      <c r="G223" s="122" t="e">
        <f>SUM(G222:G222)</f>
        <v>#VALUE!</v>
      </c>
      <c r="H223" s="122" t="e">
        <f>SUM(H222:H222)</f>
        <v>#VALUE!</v>
      </c>
      <c r="I223" s="123"/>
      <c r="J223" s="135"/>
      <c r="O223" s="131">
        <v>39239.050000000003</v>
      </c>
      <c r="P223" s="129" t="e">
        <f>F223-O223</f>
        <v>#VALUE!</v>
      </c>
      <c r="Q223" s="130" t="e">
        <f>P223/O223</f>
        <v>#VALUE!</v>
      </c>
    </row>
    <row r="224" spans="1:17" ht="13" x14ac:dyDescent="0.3">
      <c r="C224" s="121"/>
      <c r="D224" s="122"/>
      <c r="E224" s="122"/>
      <c r="F224" s="122"/>
      <c r="G224" s="122"/>
      <c r="H224" s="122"/>
      <c r="I224" s="123"/>
      <c r="J224" s="135"/>
      <c r="O224" s="131"/>
      <c r="P224" s="129"/>
      <c r="Q224" s="130"/>
    </row>
    <row r="225" spans="1:17" x14ac:dyDescent="0.25">
      <c r="A225" s="120" t="s">
        <v>2197</v>
      </c>
      <c r="B225" s="120" t="s">
        <v>2180</v>
      </c>
      <c r="C225" s="120" t="s">
        <v>1078</v>
      </c>
      <c r="D225" s="117">
        <v>5500</v>
      </c>
      <c r="E225" s="117">
        <v>0</v>
      </c>
      <c r="F225" s="117"/>
      <c r="G225" s="117">
        <f>F225-D225</f>
        <v>-5500</v>
      </c>
      <c r="H225" s="117">
        <f>F225-E225</f>
        <v>0</v>
      </c>
      <c r="I225" s="45"/>
      <c r="J225" s="135"/>
      <c r="O225" s="128">
        <v>0</v>
      </c>
      <c r="P225" s="129">
        <f>F225-O225</f>
        <v>0</v>
      </c>
      <c r="Q225" s="130" t="e">
        <f>P225/O225</f>
        <v>#DIV/0!</v>
      </c>
    </row>
    <row r="226" spans="1:17" ht="13" x14ac:dyDescent="0.3">
      <c r="C226" s="121" t="s">
        <v>2184</v>
      </c>
      <c r="D226" s="122">
        <f>SUM(D225:D225)</f>
        <v>5500</v>
      </c>
      <c r="E226" s="122">
        <f>SUM(E225:E225)</f>
        <v>0</v>
      </c>
      <c r="F226" s="122">
        <f>SUM(F225:F225)</f>
        <v>0</v>
      </c>
      <c r="G226" s="122">
        <f>SUM(G225:G225)</f>
        <v>-5500</v>
      </c>
      <c r="H226" s="122">
        <f>SUM(H225:H225)</f>
        <v>0</v>
      </c>
      <c r="I226" s="123"/>
      <c r="J226" s="135"/>
      <c r="O226" s="136">
        <v>15505</v>
      </c>
      <c r="P226" s="129">
        <f>F226-O226</f>
        <v>-15505</v>
      </c>
      <c r="Q226" s="130">
        <f>P226/O226</f>
        <v>-1</v>
      </c>
    </row>
    <row r="227" spans="1:17" x14ac:dyDescent="0.25">
      <c r="D227" s="117"/>
      <c r="E227" s="117"/>
      <c r="F227" s="117"/>
      <c r="G227" s="117"/>
      <c r="H227" s="117"/>
      <c r="I227" s="45"/>
      <c r="J227" s="135"/>
      <c r="O227" s="128"/>
      <c r="P227" s="119"/>
      <c r="Q227" s="119"/>
    </row>
    <row r="228" spans="1:17" x14ac:dyDescent="0.25">
      <c r="A228" s="120" t="s">
        <v>2197</v>
      </c>
      <c r="B228" s="120" t="s">
        <v>2201</v>
      </c>
      <c r="C228" s="120" t="s">
        <v>973</v>
      </c>
      <c r="D228" s="117"/>
      <c r="E228" s="117">
        <f>D228</f>
        <v>0</v>
      </c>
      <c r="F228" s="117" t="e">
        <v>#VALUE!</v>
      </c>
      <c r="G228" s="117" t="e">
        <f>F228-D228</f>
        <v>#VALUE!</v>
      </c>
      <c r="H228" s="117" t="e">
        <f>F228-E228</f>
        <v>#VALUE!</v>
      </c>
      <c r="I228" s="45"/>
      <c r="J228" s="135"/>
      <c r="O228" s="128">
        <v>0</v>
      </c>
      <c r="P228" s="129" t="e">
        <f>F228-O228</f>
        <v>#VALUE!</v>
      </c>
      <c r="Q228" s="130" t="e">
        <f>P228/O228</f>
        <v>#VALUE!</v>
      </c>
    </row>
    <row r="229" spans="1:17" ht="13" x14ac:dyDescent="0.3">
      <c r="C229" s="121" t="s">
        <v>2187</v>
      </c>
      <c r="D229" s="122">
        <f>SUM(D228)</f>
        <v>0</v>
      </c>
      <c r="E229" s="122">
        <f>SUM(E228)</f>
        <v>0</v>
      </c>
      <c r="F229" s="122" t="e">
        <f>SUM(F228)</f>
        <v>#VALUE!</v>
      </c>
      <c r="G229" s="122" t="e">
        <f>SUM(G228)</f>
        <v>#VALUE!</v>
      </c>
      <c r="H229" s="122" t="e">
        <f>SUM(H228)</f>
        <v>#VALUE!</v>
      </c>
      <c r="I229" s="123"/>
      <c r="J229" s="135"/>
      <c r="O229" s="131">
        <v>0</v>
      </c>
      <c r="P229" s="129" t="e">
        <f>F229-O229</f>
        <v>#VALUE!</v>
      </c>
      <c r="Q229" s="130" t="e">
        <f>P229/O229</f>
        <v>#VALUE!</v>
      </c>
    </row>
    <row r="230" spans="1:17" x14ac:dyDescent="0.25">
      <c r="D230" s="117"/>
      <c r="E230" s="117"/>
      <c r="F230" s="117"/>
      <c r="G230" s="117"/>
      <c r="H230" s="117"/>
      <c r="I230" s="45"/>
      <c r="J230" s="135"/>
      <c r="O230" s="128"/>
      <c r="P230" s="119"/>
      <c r="Q230" s="119"/>
    </row>
    <row r="231" spans="1:17" ht="13" x14ac:dyDescent="0.3">
      <c r="C231" s="121" t="s">
        <v>964</v>
      </c>
      <c r="D231" s="122">
        <f>D220+D223+D226+D229</f>
        <v>37935</v>
      </c>
      <c r="E231" s="122">
        <f>E220+E223+E226+E229</f>
        <v>33935</v>
      </c>
      <c r="F231" s="122" t="e">
        <f>F220+F223+F226+F229</f>
        <v>#VALUE!</v>
      </c>
      <c r="G231" s="122" t="e">
        <f>G220+G223+G226+G229</f>
        <v>#VALUE!</v>
      </c>
      <c r="H231" s="122" t="e">
        <f>H220+H223+H226+H229</f>
        <v>#VALUE!</v>
      </c>
      <c r="I231" s="123"/>
      <c r="J231" s="135"/>
      <c r="O231" s="131">
        <v>29284.75</v>
      </c>
      <c r="P231" s="129" t="e">
        <f>F231-O231</f>
        <v>#VALUE!</v>
      </c>
      <c r="Q231" s="130" t="e">
        <f>P231/O231</f>
        <v>#VALUE!</v>
      </c>
    </row>
    <row r="232" spans="1:17" x14ac:dyDescent="0.25">
      <c r="D232" s="117"/>
      <c r="E232" s="117"/>
      <c r="F232" s="117"/>
      <c r="G232" s="117"/>
      <c r="H232" s="117"/>
      <c r="I232" s="45"/>
      <c r="J232" s="135"/>
      <c r="O232" s="128"/>
      <c r="P232" s="119"/>
      <c r="Q232" s="119"/>
    </row>
    <row r="233" spans="1:17" ht="13" x14ac:dyDescent="0.3">
      <c r="C233" s="121" t="s">
        <v>2156</v>
      </c>
      <c r="D233" s="122">
        <f>D231+D206</f>
        <v>270420</v>
      </c>
      <c r="E233" s="122">
        <f>E231+E206</f>
        <v>235119</v>
      </c>
      <c r="F233" s="122" t="e">
        <f>F231+F206</f>
        <v>#VALUE!</v>
      </c>
      <c r="G233" s="122" t="e">
        <f>G231+G206</f>
        <v>#VALUE!</v>
      </c>
      <c r="H233" s="122" t="e">
        <f>H231+H206</f>
        <v>#VALUE!</v>
      </c>
      <c r="I233" s="123"/>
      <c r="J233" s="135" t="e">
        <v>#VALUE!</v>
      </c>
      <c r="O233" s="131">
        <v>249010.63</v>
      </c>
      <c r="P233" s="129" t="e">
        <f>F233-O233</f>
        <v>#VALUE!</v>
      </c>
      <c r="Q233" s="130" t="e">
        <f>P233/O233</f>
        <v>#VALUE!</v>
      </c>
    </row>
    <row r="234" spans="1:17" ht="13" x14ac:dyDescent="0.3">
      <c r="D234" s="117"/>
      <c r="E234" s="122" t="e">
        <f>IF(F234="","","CHECK")</f>
        <v>#VALUE!</v>
      </c>
      <c r="F234" s="122" t="e">
        <v>#VALUE!</v>
      </c>
      <c r="G234" s="117"/>
      <c r="H234" s="117"/>
      <c r="I234" s="45"/>
      <c r="J234" s="135"/>
      <c r="O234" s="128"/>
      <c r="P234" s="119"/>
      <c r="Q234" s="119"/>
    </row>
    <row r="235" spans="1:17" ht="13" x14ac:dyDescent="0.3">
      <c r="A235" s="121" t="s">
        <v>92</v>
      </c>
      <c r="B235" s="120" t="s">
        <v>757</v>
      </c>
      <c r="C235" s="120" t="s">
        <v>2202</v>
      </c>
      <c r="D235" s="117">
        <v>41886</v>
      </c>
      <c r="E235" s="117">
        <v>41118</v>
      </c>
      <c r="F235" s="117" t="e">
        <v>#VALUE!</v>
      </c>
      <c r="G235" s="117" t="e">
        <f>F235-D235</f>
        <v>#VALUE!</v>
      </c>
      <c r="H235" s="117" t="e">
        <f>F235-E235</f>
        <v>#VALUE!</v>
      </c>
      <c r="I235" s="45"/>
      <c r="J235" s="135"/>
      <c r="O235" s="128">
        <v>0</v>
      </c>
      <c r="P235" s="129" t="e">
        <f>F235-O235</f>
        <v>#VALUE!</v>
      </c>
      <c r="Q235" s="130" t="e">
        <f>P235/O235</f>
        <v>#VALUE!</v>
      </c>
    </row>
    <row r="236" spans="1:17" ht="13" x14ac:dyDescent="0.3">
      <c r="A236" s="121" t="s">
        <v>92</v>
      </c>
      <c r="B236" s="120" t="s">
        <v>757</v>
      </c>
      <c r="C236" s="120" t="s">
        <v>1699</v>
      </c>
      <c r="D236" s="117">
        <v>0</v>
      </c>
      <c r="E236" s="117">
        <v>4450</v>
      </c>
      <c r="F236" s="117" t="e">
        <v>#VALUE!</v>
      </c>
      <c r="G236" s="117" t="e">
        <f t="shared" ref="G236:G245" si="33">F236-D236</f>
        <v>#VALUE!</v>
      </c>
      <c r="H236" s="117" t="e">
        <f t="shared" ref="H236:H245" si="34">F236-E236</f>
        <v>#VALUE!</v>
      </c>
      <c r="I236" s="45"/>
      <c r="J236" s="135"/>
      <c r="O236" s="128"/>
      <c r="P236" s="129"/>
      <c r="Q236" s="130"/>
    </row>
    <row r="237" spans="1:17" ht="13" x14ac:dyDescent="0.3">
      <c r="A237" s="121" t="s">
        <v>92</v>
      </c>
      <c r="B237" s="120" t="s">
        <v>757</v>
      </c>
      <c r="C237" s="120" t="s">
        <v>2203</v>
      </c>
      <c r="D237" s="117">
        <v>2500</v>
      </c>
      <c r="E237" s="117">
        <v>0</v>
      </c>
      <c r="F237" s="117" t="e">
        <v>#VALUE!</v>
      </c>
      <c r="G237" s="117" t="e">
        <f t="shared" si="33"/>
        <v>#VALUE!</v>
      </c>
      <c r="H237" s="117" t="e">
        <f t="shared" si="34"/>
        <v>#VALUE!</v>
      </c>
      <c r="I237" s="45"/>
      <c r="J237" s="135"/>
      <c r="O237" s="128"/>
      <c r="P237" s="129"/>
      <c r="Q237" s="130"/>
    </row>
    <row r="238" spans="1:17" ht="13" x14ac:dyDescent="0.3">
      <c r="A238" s="121" t="s">
        <v>92</v>
      </c>
      <c r="B238" s="120" t="s">
        <v>757</v>
      </c>
      <c r="C238" s="120" t="s">
        <v>871</v>
      </c>
      <c r="D238" s="117">
        <v>1208</v>
      </c>
      <c r="E238" s="117">
        <f>D238</f>
        <v>1208</v>
      </c>
      <c r="F238" s="117" t="e">
        <v>#VALUE!</v>
      </c>
      <c r="G238" s="117" t="e">
        <f t="shared" si="33"/>
        <v>#VALUE!</v>
      </c>
      <c r="H238" s="117" t="e">
        <f t="shared" si="34"/>
        <v>#VALUE!</v>
      </c>
      <c r="I238" s="45"/>
      <c r="J238" s="135"/>
      <c r="O238" s="128">
        <v>1053.3399999999999</v>
      </c>
      <c r="P238" s="129" t="e">
        <f t="shared" ref="P238:P245" si="35">F238-O238</f>
        <v>#VALUE!</v>
      </c>
      <c r="Q238" s="130" t="e">
        <f t="shared" ref="Q238:Q245" si="36">P238/O238</f>
        <v>#VALUE!</v>
      </c>
    </row>
    <row r="239" spans="1:17" ht="13" x14ac:dyDescent="0.3">
      <c r="A239" s="121" t="s">
        <v>92</v>
      </c>
      <c r="B239" s="120" t="s">
        <v>757</v>
      </c>
      <c r="C239" s="120" t="s">
        <v>2204</v>
      </c>
      <c r="D239" s="117">
        <v>17500</v>
      </c>
      <c r="E239" s="117">
        <f>D239</f>
        <v>17500</v>
      </c>
      <c r="F239" s="117" t="e">
        <v>#VALUE!</v>
      </c>
      <c r="G239" s="117" t="e">
        <f>F239-D239</f>
        <v>#VALUE!</v>
      </c>
      <c r="H239" s="117" t="e">
        <f t="shared" si="34"/>
        <v>#VALUE!</v>
      </c>
      <c r="I239" s="45"/>
      <c r="J239" s="135"/>
      <c r="O239" s="128">
        <v>0</v>
      </c>
      <c r="P239" s="129" t="e">
        <f>F239-O239</f>
        <v>#VALUE!</v>
      </c>
      <c r="Q239" s="130" t="e">
        <f>P239/O239</f>
        <v>#VALUE!</v>
      </c>
    </row>
    <row r="240" spans="1:17" ht="13" x14ac:dyDescent="0.3">
      <c r="A240" s="121" t="s">
        <v>92</v>
      </c>
      <c r="B240" s="120" t="s">
        <v>757</v>
      </c>
      <c r="C240" s="120" t="s">
        <v>141</v>
      </c>
      <c r="D240" s="117">
        <v>5000</v>
      </c>
      <c r="E240" s="117">
        <f>D240</f>
        <v>5000</v>
      </c>
      <c r="F240" s="117" t="e">
        <v>#VALUE!</v>
      </c>
      <c r="G240" s="117" t="e">
        <f>F240-D240</f>
        <v>#VALUE!</v>
      </c>
      <c r="H240" s="117" t="e">
        <f t="shared" si="34"/>
        <v>#VALUE!</v>
      </c>
      <c r="I240" s="45"/>
      <c r="J240" s="135"/>
      <c r="O240" s="128"/>
      <c r="P240" s="129"/>
      <c r="Q240" s="130"/>
    </row>
    <row r="241" spans="1:17" ht="13" x14ac:dyDescent="0.3">
      <c r="A241" s="121" t="s">
        <v>92</v>
      </c>
      <c r="B241" s="120" t="s">
        <v>757</v>
      </c>
      <c r="C241" s="120" t="s">
        <v>1716</v>
      </c>
      <c r="D241" s="117">
        <v>5000</v>
      </c>
      <c r="E241" s="117"/>
      <c r="F241" s="117" t="e">
        <v>#VALUE!</v>
      </c>
      <c r="G241" s="117" t="e">
        <f>F241-D241</f>
        <v>#VALUE!</v>
      </c>
      <c r="H241" s="117" t="e">
        <f t="shared" si="34"/>
        <v>#VALUE!</v>
      </c>
      <c r="I241" s="45"/>
      <c r="J241" s="135"/>
      <c r="O241" s="128">
        <v>5000</v>
      </c>
      <c r="P241" s="129" t="e">
        <f>F241-O241</f>
        <v>#VALUE!</v>
      </c>
      <c r="Q241" s="130" t="e">
        <f>P241/O241</f>
        <v>#VALUE!</v>
      </c>
    </row>
    <row r="242" spans="1:17" ht="13" x14ac:dyDescent="0.3">
      <c r="A242" s="121" t="s">
        <v>92</v>
      </c>
      <c r="B242" s="120" t="s">
        <v>757</v>
      </c>
      <c r="C242" s="120" t="s">
        <v>2205</v>
      </c>
      <c r="D242" s="117"/>
      <c r="E242" s="117">
        <v>6200</v>
      </c>
      <c r="F242" s="117" t="e">
        <v>#VALUE!</v>
      </c>
      <c r="G242" s="117" t="e">
        <f>F242-D242</f>
        <v>#VALUE!</v>
      </c>
      <c r="H242" s="117" t="e">
        <f t="shared" si="34"/>
        <v>#VALUE!</v>
      </c>
      <c r="I242" s="45"/>
      <c r="J242" s="135"/>
      <c r="O242" s="128"/>
      <c r="P242" s="129"/>
      <c r="Q242" s="130"/>
    </row>
    <row r="243" spans="1:17" ht="13" x14ac:dyDescent="0.3">
      <c r="A243" s="121" t="s">
        <v>92</v>
      </c>
      <c r="B243" s="120" t="s">
        <v>757</v>
      </c>
      <c r="C243" s="120" t="s">
        <v>2206</v>
      </c>
      <c r="D243" s="117"/>
      <c r="E243" s="117"/>
      <c r="F243" s="117" t="e">
        <v>#VALUE!</v>
      </c>
      <c r="G243" s="117" t="e">
        <f t="shared" si="33"/>
        <v>#VALUE!</v>
      </c>
      <c r="H243" s="117" t="e">
        <f t="shared" si="34"/>
        <v>#VALUE!</v>
      </c>
      <c r="I243" s="45"/>
      <c r="J243" s="135"/>
      <c r="O243" s="128">
        <v>0</v>
      </c>
      <c r="P243" s="129" t="e">
        <f t="shared" si="35"/>
        <v>#VALUE!</v>
      </c>
      <c r="Q243" s="130" t="e">
        <f t="shared" si="36"/>
        <v>#VALUE!</v>
      </c>
    </row>
    <row r="244" spans="1:17" ht="13" x14ac:dyDescent="0.3">
      <c r="A244" s="121" t="s">
        <v>92</v>
      </c>
      <c r="B244" s="120" t="s">
        <v>757</v>
      </c>
      <c r="C244" s="120" t="s">
        <v>2207</v>
      </c>
      <c r="D244" s="117"/>
      <c r="E244" s="117"/>
      <c r="F244" s="117" t="e">
        <v>#VALUE!</v>
      </c>
      <c r="G244" s="117" t="e">
        <f t="shared" si="33"/>
        <v>#VALUE!</v>
      </c>
      <c r="H244" s="117" t="e">
        <f t="shared" si="34"/>
        <v>#VALUE!</v>
      </c>
      <c r="I244" s="45"/>
      <c r="J244" s="135"/>
      <c r="O244" s="128">
        <v>270</v>
      </c>
      <c r="P244" s="129" t="e">
        <f t="shared" si="35"/>
        <v>#VALUE!</v>
      </c>
      <c r="Q244" s="130" t="e">
        <f t="shared" si="36"/>
        <v>#VALUE!</v>
      </c>
    </row>
    <row r="245" spans="1:17" ht="13" x14ac:dyDescent="0.3">
      <c r="A245" s="121" t="s">
        <v>92</v>
      </c>
      <c r="B245" s="120" t="s">
        <v>757</v>
      </c>
      <c r="C245" s="120" t="s">
        <v>1706</v>
      </c>
      <c r="D245" s="117"/>
      <c r="E245" s="117"/>
      <c r="F245" s="117" t="e">
        <v>#VALUE!</v>
      </c>
      <c r="G245" s="117" t="e">
        <f t="shared" si="33"/>
        <v>#VALUE!</v>
      </c>
      <c r="H245" s="117" t="e">
        <f t="shared" si="34"/>
        <v>#VALUE!</v>
      </c>
      <c r="I245" s="45"/>
      <c r="J245" s="135"/>
      <c r="O245" s="128">
        <v>0</v>
      </c>
      <c r="P245" s="129" t="e">
        <f t="shared" si="35"/>
        <v>#VALUE!</v>
      </c>
      <c r="Q245" s="130" t="e">
        <f t="shared" si="36"/>
        <v>#VALUE!</v>
      </c>
    </row>
    <row r="246" spans="1:17" ht="13" x14ac:dyDescent="0.3">
      <c r="C246" s="121" t="s">
        <v>2168</v>
      </c>
      <c r="D246" s="122">
        <f>SUM(D235:D245)</f>
        <v>73094</v>
      </c>
      <c r="E246" s="122">
        <f>SUM(E235:E245)</f>
        <v>75476</v>
      </c>
      <c r="F246" s="122" t="e">
        <f>SUM(F235:F245)</f>
        <v>#VALUE!</v>
      </c>
      <c r="G246" s="122" t="e">
        <f>SUM(G235:G245)</f>
        <v>#VALUE!</v>
      </c>
      <c r="H246" s="122" t="e">
        <f>SUM(H235:H245)</f>
        <v>#VALUE!</v>
      </c>
      <c r="I246" s="123"/>
      <c r="J246" s="135"/>
      <c r="O246" s="131">
        <v>6409.74</v>
      </c>
      <c r="P246" s="129" t="e">
        <f>F246-O246</f>
        <v>#VALUE!</v>
      </c>
      <c r="Q246" s="130" t="e">
        <f>P246/O246</f>
        <v>#VALUE!</v>
      </c>
    </row>
    <row r="247" spans="1:17" x14ac:dyDescent="0.25">
      <c r="D247" s="117"/>
      <c r="E247" s="117"/>
      <c r="F247" s="117"/>
      <c r="G247" s="117"/>
      <c r="H247" s="117"/>
      <c r="I247" s="45"/>
      <c r="J247" s="135"/>
      <c r="O247" s="128"/>
      <c r="P247" s="119"/>
      <c r="Q247" s="119"/>
    </row>
    <row r="248" spans="1:17" ht="13" x14ac:dyDescent="0.3">
      <c r="A248" s="121" t="s">
        <v>92</v>
      </c>
      <c r="B248" s="120" t="s">
        <v>1075</v>
      </c>
      <c r="C248" s="120" t="s">
        <v>1694</v>
      </c>
      <c r="D248" s="117">
        <v>17039</v>
      </c>
      <c r="E248" s="117">
        <f>D248</f>
        <v>17039</v>
      </c>
      <c r="F248" s="117" t="e">
        <v>#VALUE!</v>
      </c>
      <c r="G248" s="117" t="e">
        <f t="shared" ref="G248:G253" si="37">F248-D248</f>
        <v>#VALUE!</v>
      </c>
      <c r="H248" s="117" t="e">
        <f t="shared" ref="H248:H253" si="38">F248-E248</f>
        <v>#VALUE!</v>
      </c>
      <c r="I248" s="45"/>
      <c r="J248" s="135"/>
      <c r="O248" s="128">
        <v>12064.88</v>
      </c>
      <c r="P248" s="129" t="e">
        <f>F248-O248</f>
        <v>#VALUE!</v>
      </c>
      <c r="Q248" s="130" t="e">
        <f>P248/O248</f>
        <v>#VALUE!</v>
      </c>
    </row>
    <row r="249" spans="1:17" ht="13" x14ac:dyDescent="0.3">
      <c r="A249" s="121" t="s">
        <v>92</v>
      </c>
      <c r="B249" s="120" t="s">
        <v>1075</v>
      </c>
      <c r="C249" s="120" t="s">
        <v>1510</v>
      </c>
      <c r="D249" s="117">
        <v>4234</v>
      </c>
      <c r="E249" s="117">
        <f>D249</f>
        <v>4234</v>
      </c>
      <c r="F249" s="117" t="e">
        <v>#VALUE!</v>
      </c>
      <c r="G249" s="117" t="e">
        <f t="shared" si="37"/>
        <v>#VALUE!</v>
      </c>
      <c r="H249" s="117" t="e">
        <f t="shared" si="38"/>
        <v>#VALUE!</v>
      </c>
      <c r="I249" s="45"/>
      <c r="J249" s="135"/>
      <c r="O249" s="128">
        <v>0</v>
      </c>
      <c r="P249" s="129" t="e">
        <f>F249-O249</f>
        <v>#VALUE!</v>
      </c>
      <c r="Q249" s="130" t="e">
        <f>P249/O249</f>
        <v>#VALUE!</v>
      </c>
    </row>
    <row r="250" spans="1:17" ht="13" x14ac:dyDescent="0.3">
      <c r="A250" s="121" t="s">
        <v>92</v>
      </c>
      <c r="B250" s="120" t="s">
        <v>1075</v>
      </c>
      <c r="C250" s="120" t="s">
        <v>774</v>
      </c>
      <c r="D250" s="117"/>
      <c r="E250" s="117">
        <v>294</v>
      </c>
      <c r="F250" s="117" t="e">
        <v>#VALUE!</v>
      </c>
      <c r="G250" s="117" t="e">
        <f t="shared" si="37"/>
        <v>#VALUE!</v>
      </c>
      <c r="H250" s="117" t="e">
        <f t="shared" si="38"/>
        <v>#VALUE!</v>
      </c>
      <c r="I250" s="45"/>
      <c r="J250" s="135"/>
      <c r="O250" s="128"/>
      <c r="P250" s="129"/>
      <c r="Q250" s="130"/>
    </row>
    <row r="251" spans="1:17" ht="13" x14ac:dyDescent="0.3">
      <c r="A251" s="121" t="s">
        <v>92</v>
      </c>
      <c r="B251" s="120" t="s">
        <v>1075</v>
      </c>
      <c r="C251" s="120" t="s">
        <v>2243</v>
      </c>
      <c r="D251" s="117"/>
      <c r="E251" s="117">
        <v>-294</v>
      </c>
      <c r="F251" s="117" t="e">
        <v>#VALUE!</v>
      </c>
      <c r="G251" s="117" t="e">
        <f t="shared" si="37"/>
        <v>#VALUE!</v>
      </c>
      <c r="H251" s="117" t="e">
        <f t="shared" si="38"/>
        <v>#VALUE!</v>
      </c>
      <c r="I251" s="45"/>
      <c r="J251" s="135"/>
      <c r="O251" s="128"/>
      <c r="P251" s="129"/>
      <c r="Q251" s="130"/>
    </row>
    <row r="252" spans="1:17" ht="13" x14ac:dyDescent="0.3">
      <c r="A252" s="121" t="s">
        <v>92</v>
      </c>
      <c r="B252" s="120" t="s">
        <v>1075</v>
      </c>
      <c r="C252" s="120" t="s">
        <v>1677</v>
      </c>
      <c r="D252" s="117">
        <v>3896</v>
      </c>
      <c r="E252" s="117">
        <f>D252</f>
        <v>3896</v>
      </c>
      <c r="F252" s="117" t="e">
        <v>#VALUE!</v>
      </c>
      <c r="G252" s="117" t="e">
        <f t="shared" si="37"/>
        <v>#VALUE!</v>
      </c>
      <c r="H252" s="117" t="e">
        <f t="shared" si="38"/>
        <v>#VALUE!</v>
      </c>
      <c r="I252" s="45"/>
      <c r="J252" s="135"/>
      <c r="O252" s="128">
        <v>0</v>
      </c>
      <c r="P252" s="129" t="e">
        <f>F252-O252</f>
        <v>#VALUE!</v>
      </c>
      <c r="Q252" s="130" t="e">
        <f>P252/O252</f>
        <v>#VALUE!</v>
      </c>
    </row>
    <row r="253" spans="1:17" ht="13" x14ac:dyDescent="0.3">
      <c r="A253" s="121" t="s">
        <v>92</v>
      </c>
      <c r="B253" s="120" t="s">
        <v>1075</v>
      </c>
      <c r="C253" s="120" t="s">
        <v>1730</v>
      </c>
      <c r="D253" s="117">
        <v>70974</v>
      </c>
      <c r="E253" s="117">
        <v>70974</v>
      </c>
      <c r="F253" s="117" t="e">
        <v>#VALUE!</v>
      </c>
      <c r="G253" s="117" t="e">
        <f t="shared" si="37"/>
        <v>#VALUE!</v>
      </c>
      <c r="H253" s="117" t="e">
        <f t="shared" si="38"/>
        <v>#VALUE!</v>
      </c>
      <c r="I253" s="45"/>
      <c r="J253" s="135"/>
      <c r="O253" s="128">
        <v>0</v>
      </c>
      <c r="P253" s="129" t="e">
        <f>F253-O253</f>
        <v>#VALUE!</v>
      </c>
      <c r="Q253" s="130" t="e">
        <f>P253/O253</f>
        <v>#VALUE!</v>
      </c>
    </row>
    <row r="254" spans="1:17" ht="13" x14ac:dyDescent="0.3">
      <c r="C254" s="121" t="s">
        <v>2208</v>
      </c>
      <c r="D254" s="122">
        <f>SUM(D248:D253)</f>
        <v>96143</v>
      </c>
      <c r="E254" s="122">
        <f>SUM(E248:E253)</f>
        <v>96143</v>
      </c>
      <c r="F254" s="122" t="e">
        <f>SUM(F248:F253)</f>
        <v>#VALUE!</v>
      </c>
      <c r="G254" s="122" t="e">
        <f>SUM(G248:G253)</f>
        <v>#VALUE!</v>
      </c>
      <c r="H254" s="122" t="e">
        <f>SUM(H248:H253)</f>
        <v>#VALUE!</v>
      </c>
      <c r="I254" s="123"/>
      <c r="J254" s="135"/>
      <c r="O254" s="131">
        <v>12064.88</v>
      </c>
      <c r="P254" s="129" t="e">
        <f>F254-O254</f>
        <v>#VALUE!</v>
      </c>
      <c r="Q254" s="130" t="e">
        <f>P254/O254</f>
        <v>#VALUE!</v>
      </c>
    </row>
    <row r="255" spans="1:17" x14ac:dyDescent="0.25">
      <c r="D255" s="117"/>
      <c r="E255" s="117"/>
      <c r="F255" s="117"/>
      <c r="G255" s="117"/>
      <c r="H255" s="117"/>
      <c r="I255" s="45"/>
      <c r="J255" s="135"/>
      <c r="O255" s="128"/>
      <c r="P255" s="119"/>
      <c r="Q255" s="119"/>
    </row>
    <row r="256" spans="1:17" ht="13" x14ac:dyDescent="0.3">
      <c r="A256" s="121" t="s">
        <v>92</v>
      </c>
      <c r="B256" s="120" t="s">
        <v>1075</v>
      </c>
      <c r="C256" s="120" t="s">
        <v>2209</v>
      </c>
      <c r="D256" s="117">
        <v>6604</v>
      </c>
      <c r="E256" s="117">
        <v>10500</v>
      </c>
      <c r="F256" s="117">
        <f>9492+540</f>
        <v>10032</v>
      </c>
      <c r="G256" s="117">
        <f>F256-D256</f>
        <v>3428</v>
      </c>
      <c r="H256" s="117">
        <f>F256-E256</f>
        <v>-468</v>
      </c>
      <c r="I256" s="45"/>
      <c r="J256" s="135"/>
      <c r="O256" s="128"/>
      <c r="P256" s="129"/>
      <c r="Q256" s="130"/>
    </row>
    <row r="257" spans="1:17" ht="13" x14ac:dyDescent="0.3">
      <c r="C257" s="121" t="s">
        <v>2184</v>
      </c>
      <c r="D257" s="122">
        <f>SUM(D256)</f>
        <v>6604</v>
      </c>
      <c r="E257" s="122">
        <f>SUM(E256)</f>
        <v>10500</v>
      </c>
      <c r="F257" s="122">
        <f>SUM(F256)</f>
        <v>10032</v>
      </c>
      <c r="G257" s="122">
        <f>SUM(G256)</f>
        <v>3428</v>
      </c>
      <c r="H257" s="122">
        <f>SUM(H256)</f>
        <v>-468</v>
      </c>
      <c r="I257" s="123"/>
      <c r="J257" s="135"/>
      <c r="O257" s="136">
        <v>15505</v>
      </c>
      <c r="P257" s="129">
        <f>F257-O257</f>
        <v>-5473</v>
      </c>
      <c r="Q257" s="130">
        <f>P257/O257</f>
        <v>-0.35298290873911642</v>
      </c>
    </row>
    <row r="258" spans="1:17" x14ac:dyDescent="0.25">
      <c r="D258" s="117"/>
      <c r="E258" s="117"/>
      <c r="F258" s="117"/>
      <c r="G258" s="117"/>
      <c r="H258" s="117"/>
      <c r="I258" s="45"/>
      <c r="J258" s="135"/>
      <c r="O258" s="128"/>
      <c r="P258" s="119"/>
      <c r="Q258" s="119"/>
    </row>
    <row r="259" spans="1:17" ht="13" x14ac:dyDescent="0.3">
      <c r="A259" s="121" t="s">
        <v>92</v>
      </c>
      <c r="B259" s="120" t="s">
        <v>781</v>
      </c>
      <c r="C259" s="120" t="s">
        <v>781</v>
      </c>
      <c r="D259" s="117"/>
      <c r="E259" s="117"/>
      <c r="F259" s="117" t="e">
        <v>#VALUE!</v>
      </c>
      <c r="G259" s="117" t="e">
        <f>F259-D259</f>
        <v>#VALUE!</v>
      </c>
      <c r="H259" s="117" t="e">
        <f>F259-E259</f>
        <v>#VALUE!</v>
      </c>
      <c r="I259" s="45"/>
      <c r="J259" s="135"/>
      <c r="O259" s="134">
        <v>29745.38</v>
      </c>
      <c r="P259" s="129" t="e">
        <f>F259-O259</f>
        <v>#VALUE!</v>
      </c>
      <c r="Q259" s="130" t="e">
        <f>P259/O259</f>
        <v>#VALUE!</v>
      </c>
    </row>
    <row r="260" spans="1:17" ht="13" x14ac:dyDescent="0.3">
      <c r="C260" s="121" t="s">
        <v>2169</v>
      </c>
      <c r="D260" s="122">
        <f>SUM(D259)</f>
        <v>0</v>
      </c>
      <c r="E260" s="122">
        <f>SUM(E259)</f>
        <v>0</v>
      </c>
      <c r="F260" s="122" t="e">
        <f>SUM(F259)</f>
        <v>#VALUE!</v>
      </c>
      <c r="G260" s="122" t="e">
        <f>SUM(G259)</f>
        <v>#VALUE!</v>
      </c>
      <c r="H260" s="122" t="e">
        <f>SUM(H259)</f>
        <v>#VALUE!</v>
      </c>
      <c r="I260" s="123"/>
      <c r="J260" s="135"/>
      <c r="O260" s="131">
        <v>29745.38</v>
      </c>
      <c r="P260" s="129" t="e">
        <f>F260-O260</f>
        <v>#VALUE!</v>
      </c>
      <c r="Q260" s="130" t="e">
        <f>P260/O260</f>
        <v>#VALUE!</v>
      </c>
    </row>
    <row r="261" spans="1:17" x14ac:dyDescent="0.25">
      <c r="D261" s="117"/>
      <c r="E261" s="117"/>
      <c r="F261" s="117"/>
      <c r="G261" s="117"/>
      <c r="H261" s="117"/>
      <c r="I261" s="45"/>
      <c r="J261" s="135"/>
      <c r="O261" s="128"/>
      <c r="P261" s="119"/>
      <c r="Q261" s="119"/>
    </row>
    <row r="262" spans="1:17" ht="13" x14ac:dyDescent="0.3">
      <c r="A262" s="121" t="s">
        <v>92</v>
      </c>
      <c r="B262" s="120" t="s">
        <v>782</v>
      </c>
      <c r="C262" s="120" t="s">
        <v>784</v>
      </c>
      <c r="D262" s="117"/>
      <c r="E262" s="117"/>
      <c r="F262" s="117" t="e">
        <v>#VALUE!</v>
      </c>
      <c r="G262" s="117" t="e">
        <f>F262-D262</f>
        <v>#VALUE!</v>
      </c>
      <c r="H262" s="117" t="e">
        <f>F262-E262</f>
        <v>#VALUE!</v>
      </c>
      <c r="I262" s="45"/>
      <c r="J262" s="135"/>
      <c r="O262" s="128">
        <v>24525.15</v>
      </c>
      <c r="P262" s="129" t="e">
        <f>F262-O262</f>
        <v>#VALUE!</v>
      </c>
      <c r="Q262" s="130" t="e">
        <f>P262/O262</f>
        <v>#VALUE!</v>
      </c>
    </row>
    <row r="263" spans="1:17" ht="13" x14ac:dyDescent="0.3">
      <c r="A263" s="121" t="s">
        <v>92</v>
      </c>
      <c r="B263" s="120" t="s">
        <v>782</v>
      </c>
      <c r="C263" s="120" t="s">
        <v>783</v>
      </c>
      <c r="D263" s="117"/>
      <c r="E263" s="117"/>
      <c r="F263" s="117" t="e">
        <v>#VALUE!</v>
      </c>
      <c r="G263" s="117" t="e">
        <f>F263-D263</f>
        <v>#VALUE!</v>
      </c>
      <c r="H263" s="117" t="e">
        <f>F263-E263</f>
        <v>#VALUE!</v>
      </c>
      <c r="I263" s="45"/>
      <c r="J263" s="135"/>
      <c r="O263" s="128">
        <v>60938.87</v>
      </c>
      <c r="P263" s="129" t="e">
        <f>F263-O263</f>
        <v>#VALUE!</v>
      </c>
      <c r="Q263" s="130" t="e">
        <f>P263/O263</f>
        <v>#VALUE!</v>
      </c>
    </row>
    <row r="264" spans="1:17" ht="13" x14ac:dyDescent="0.3">
      <c r="A264" s="121"/>
      <c r="C264" s="121" t="s">
        <v>2170</v>
      </c>
      <c r="D264" s="122">
        <f>SUM(D262:D263)</f>
        <v>0</v>
      </c>
      <c r="E264" s="122">
        <f>SUM(E262:E263)</f>
        <v>0</v>
      </c>
      <c r="F264" s="122" t="e">
        <f>SUM(F262:F263)</f>
        <v>#VALUE!</v>
      </c>
      <c r="G264" s="122" t="e">
        <f>SUM(G262:G263)</f>
        <v>#VALUE!</v>
      </c>
      <c r="H264" s="122" t="e">
        <f>SUM(H262:H263)</f>
        <v>#VALUE!</v>
      </c>
      <c r="I264" s="123"/>
      <c r="O264" s="131">
        <v>85464.02</v>
      </c>
      <c r="P264" s="129" t="e">
        <f>F264-O264</f>
        <v>#VALUE!</v>
      </c>
      <c r="Q264" s="130" t="e">
        <f>P264/O264</f>
        <v>#VALUE!</v>
      </c>
    </row>
    <row r="265" spans="1:17" x14ac:dyDescent="0.25">
      <c r="D265" s="117"/>
      <c r="E265" s="117"/>
      <c r="F265" s="117"/>
      <c r="G265" s="117"/>
      <c r="H265" s="117"/>
      <c r="I265" s="45"/>
      <c r="J265" s="135"/>
      <c r="O265" s="128"/>
      <c r="P265" s="119"/>
      <c r="Q265" s="119"/>
    </row>
    <row r="266" spans="1:17" ht="13" x14ac:dyDescent="0.3">
      <c r="A266" s="121" t="s">
        <v>92</v>
      </c>
      <c r="B266" s="120" t="s">
        <v>56</v>
      </c>
      <c r="C266" s="120" t="s">
        <v>1741</v>
      </c>
      <c r="D266" s="117">
        <v>41640</v>
      </c>
      <c r="E266" s="117">
        <v>40633</v>
      </c>
      <c r="F266" s="117" t="e">
        <v>#VALUE!</v>
      </c>
      <c r="G266" s="122" t="e">
        <f>F266-D266</f>
        <v>#VALUE!</v>
      </c>
      <c r="H266" s="122" t="e">
        <f>F266-E266</f>
        <v>#VALUE!</v>
      </c>
      <c r="I266" s="123"/>
      <c r="J266" s="135"/>
      <c r="O266" s="131"/>
      <c r="P266" s="129"/>
      <c r="Q266" s="130"/>
    </row>
    <row r="267" spans="1:17" ht="13" x14ac:dyDescent="0.3">
      <c r="A267" s="121" t="s">
        <v>92</v>
      </c>
      <c r="B267" s="120" t="s">
        <v>56</v>
      </c>
      <c r="C267" s="120" t="s">
        <v>2210</v>
      </c>
      <c r="D267" s="117">
        <v>34000</v>
      </c>
      <c r="E267" s="117">
        <v>34000</v>
      </c>
      <c r="F267" s="117" t="e">
        <v>#VALUE!</v>
      </c>
      <c r="G267" s="117" t="e">
        <f>F267-D267</f>
        <v>#VALUE!</v>
      </c>
      <c r="H267" s="117" t="e">
        <f>F267-E267</f>
        <v>#VALUE!</v>
      </c>
      <c r="I267" s="45"/>
      <c r="J267" s="135"/>
      <c r="O267" s="128">
        <v>0</v>
      </c>
      <c r="P267" s="129" t="e">
        <f>F267-O267</f>
        <v>#VALUE!</v>
      </c>
      <c r="Q267" s="130" t="e">
        <f>P267/O267</f>
        <v>#VALUE!</v>
      </c>
    </row>
    <row r="268" spans="1:17" ht="13" x14ac:dyDescent="0.3">
      <c r="A268" s="121" t="s">
        <v>92</v>
      </c>
      <c r="B268" s="120" t="s">
        <v>56</v>
      </c>
      <c r="C268" s="120" t="s">
        <v>2244</v>
      </c>
      <c r="D268" s="117"/>
      <c r="E268" s="117"/>
      <c r="F268" s="117" t="e">
        <v>#VALUE!</v>
      </c>
      <c r="G268" s="117" t="e">
        <f>F268-D268</f>
        <v>#VALUE!</v>
      </c>
      <c r="H268" s="117" t="e">
        <f>F268-E268</f>
        <v>#VALUE!</v>
      </c>
      <c r="I268" s="45"/>
      <c r="J268" s="135"/>
      <c r="O268" s="128"/>
      <c r="P268" s="129"/>
      <c r="Q268" s="130"/>
    </row>
    <row r="269" spans="1:17" ht="13" x14ac:dyDescent="0.3">
      <c r="C269" s="121" t="s">
        <v>56</v>
      </c>
      <c r="D269" s="122">
        <f>SUM(D266:D268)</f>
        <v>75640</v>
      </c>
      <c r="E269" s="122">
        <f>SUM(E266:E268)</f>
        <v>74633</v>
      </c>
      <c r="F269" s="122" t="e">
        <f>SUM(F266:F268)</f>
        <v>#VALUE!</v>
      </c>
      <c r="G269" s="122" t="e">
        <f>SUM(G266:G268)</f>
        <v>#VALUE!</v>
      </c>
      <c r="H269" s="122" t="e">
        <f>SUM(H266:H268)</f>
        <v>#VALUE!</v>
      </c>
      <c r="I269" s="123"/>
      <c r="J269" s="135"/>
      <c r="O269" s="131">
        <v>0</v>
      </c>
      <c r="P269" s="129" t="e">
        <f>F269-O269</f>
        <v>#VALUE!</v>
      </c>
      <c r="Q269" s="130" t="e">
        <f>P269/O269</f>
        <v>#VALUE!</v>
      </c>
    </row>
    <row r="270" spans="1:17" x14ac:dyDescent="0.25">
      <c r="D270" s="117"/>
      <c r="E270" s="117"/>
      <c r="F270" s="117"/>
      <c r="G270" s="117"/>
      <c r="H270" s="117"/>
      <c r="I270" s="45"/>
      <c r="J270" s="135"/>
      <c r="O270" s="128"/>
      <c r="P270" s="119"/>
      <c r="Q270" s="119"/>
    </row>
    <row r="271" spans="1:17" x14ac:dyDescent="0.25">
      <c r="D271" s="117"/>
      <c r="E271" s="117"/>
      <c r="F271" s="117"/>
      <c r="G271" s="117"/>
      <c r="H271" s="117"/>
      <c r="I271" s="45"/>
      <c r="J271" s="135"/>
      <c r="O271" s="128"/>
      <c r="P271" s="119"/>
      <c r="Q271" s="119"/>
    </row>
    <row r="272" spans="1:17" ht="13" x14ac:dyDescent="0.3">
      <c r="A272" s="121" t="s">
        <v>92</v>
      </c>
      <c r="B272" s="120" t="s">
        <v>788</v>
      </c>
      <c r="C272" s="120" t="s">
        <v>1606</v>
      </c>
      <c r="D272" s="117">
        <v>-8229</v>
      </c>
      <c r="E272" s="117">
        <v>-8229</v>
      </c>
      <c r="F272" s="117" t="e">
        <v>#VALUE!</v>
      </c>
      <c r="G272" s="117" t="e">
        <f>F272-D272</f>
        <v>#VALUE!</v>
      </c>
      <c r="H272" s="117" t="e">
        <f>F272-E272</f>
        <v>#VALUE!</v>
      </c>
      <c r="I272" s="45"/>
      <c r="J272" s="135"/>
      <c r="O272" s="128">
        <v>0</v>
      </c>
      <c r="P272" s="129" t="e">
        <f>F272-O272</f>
        <v>#VALUE!</v>
      </c>
      <c r="Q272" s="130" t="e">
        <f>P272/O272</f>
        <v>#VALUE!</v>
      </c>
    </row>
    <row r="273" spans="1:17" ht="13" x14ac:dyDescent="0.3">
      <c r="A273" s="121" t="s">
        <v>92</v>
      </c>
      <c r="B273" s="120" t="s">
        <v>788</v>
      </c>
      <c r="C273" s="120" t="s">
        <v>1608</v>
      </c>
      <c r="D273" s="117">
        <v>-1050</v>
      </c>
      <c r="E273" s="117">
        <v>-1050</v>
      </c>
      <c r="F273" s="117" t="e">
        <v>#VALUE!</v>
      </c>
      <c r="G273" s="117" t="e">
        <f>F273-D273</f>
        <v>#VALUE!</v>
      </c>
      <c r="H273" s="117" t="e">
        <f>F273-E273</f>
        <v>#VALUE!</v>
      </c>
      <c r="I273" s="45"/>
      <c r="J273" s="135"/>
      <c r="O273" s="128">
        <v>-2000</v>
      </c>
      <c r="P273" s="129" t="e">
        <f>F273-O273</f>
        <v>#VALUE!</v>
      </c>
      <c r="Q273" s="130" t="e">
        <f>P273/O273</f>
        <v>#VALUE!</v>
      </c>
    </row>
    <row r="274" spans="1:17" ht="13" x14ac:dyDescent="0.3">
      <c r="A274" s="121" t="s">
        <v>92</v>
      </c>
      <c r="B274" s="120" t="s">
        <v>788</v>
      </c>
      <c r="C274" s="120" t="s">
        <v>1603</v>
      </c>
      <c r="D274" s="117"/>
      <c r="E274" s="117"/>
      <c r="F274" s="117" t="e">
        <v>#VALUE!</v>
      </c>
      <c r="G274" s="117"/>
      <c r="H274" s="117"/>
      <c r="I274" s="45"/>
      <c r="J274" s="135"/>
      <c r="O274" s="128"/>
      <c r="P274" s="129"/>
      <c r="Q274" s="130"/>
    </row>
    <row r="275" spans="1:17" ht="13" x14ac:dyDescent="0.3">
      <c r="A275" s="121" t="s">
        <v>92</v>
      </c>
      <c r="B275" s="120" t="s">
        <v>788</v>
      </c>
      <c r="C275" s="120" t="s">
        <v>1612</v>
      </c>
      <c r="D275" s="117">
        <v>-8337</v>
      </c>
      <c r="E275" s="117">
        <v>0</v>
      </c>
      <c r="F275" s="117" t="e">
        <v>#VALUE!</v>
      </c>
      <c r="G275" s="117" t="e">
        <f>F275-D275</f>
        <v>#VALUE!</v>
      </c>
      <c r="H275" s="117" t="e">
        <f>F275-E275</f>
        <v>#VALUE!</v>
      </c>
      <c r="I275" s="45"/>
      <c r="J275" s="135"/>
      <c r="O275" s="128">
        <v>0</v>
      </c>
      <c r="P275" s="129" t="e">
        <f>F275-O275</f>
        <v>#VALUE!</v>
      </c>
      <c r="Q275" s="130" t="e">
        <f>P275/O275</f>
        <v>#VALUE!</v>
      </c>
    </row>
    <row r="276" spans="1:17" ht="13" x14ac:dyDescent="0.3">
      <c r="C276" s="121" t="s">
        <v>2187</v>
      </c>
      <c r="D276" s="122">
        <f>SUM(D272:D275)</f>
        <v>-17616</v>
      </c>
      <c r="E276" s="122">
        <f>SUM(E272:E275)</f>
        <v>-9279</v>
      </c>
      <c r="F276" s="122" t="e">
        <f>SUM(F272:F275)</f>
        <v>#VALUE!</v>
      </c>
      <c r="G276" s="122" t="e">
        <f>SUM(G272:G275)</f>
        <v>#VALUE!</v>
      </c>
      <c r="H276" s="122" t="e">
        <f>SUM(H272:H275)</f>
        <v>#VALUE!</v>
      </c>
      <c r="I276" s="123"/>
      <c r="J276" s="135"/>
      <c r="O276" s="131">
        <v>-2000</v>
      </c>
      <c r="P276" s="129" t="e">
        <f>F276-O276</f>
        <v>#VALUE!</v>
      </c>
      <c r="Q276" s="130" t="e">
        <f>P276/O276</f>
        <v>#VALUE!</v>
      </c>
    </row>
    <row r="277" spans="1:17" x14ac:dyDescent="0.25">
      <c r="D277" s="117"/>
      <c r="E277" s="117"/>
      <c r="F277" s="117"/>
      <c r="G277" s="117"/>
      <c r="H277" s="117"/>
      <c r="I277" s="45"/>
      <c r="J277" s="135"/>
      <c r="O277" s="128"/>
      <c r="P277" s="119"/>
      <c r="Q277" s="119"/>
    </row>
    <row r="278" spans="1:17" ht="13" x14ac:dyDescent="0.3">
      <c r="A278" s="121" t="s">
        <v>92</v>
      </c>
      <c r="B278" s="120" t="s">
        <v>2171</v>
      </c>
      <c r="C278" s="120" t="s">
        <v>1610</v>
      </c>
      <c r="D278" s="117">
        <v>-73131</v>
      </c>
      <c r="E278" s="117">
        <v>-72286</v>
      </c>
      <c r="F278" s="117" t="e">
        <v>#VALUE!</v>
      </c>
      <c r="G278" s="117" t="e">
        <f>F278-D278</f>
        <v>#VALUE!</v>
      </c>
      <c r="H278" s="117" t="e">
        <f>F278-E278</f>
        <v>#VALUE!</v>
      </c>
      <c r="I278" s="45"/>
      <c r="J278" s="135"/>
      <c r="O278" s="128">
        <v>-117599.35</v>
      </c>
      <c r="P278" s="129" t="e">
        <f>F278-O278</f>
        <v>#VALUE!</v>
      </c>
      <c r="Q278" s="130" t="e">
        <f>P278/O278</f>
        <v>#VALUE!</v>
      </c>
    </row>
    <row r="279" spans="1:17" ht="13" x14ac:dyDescent="0.3">
      <c r="A279" s="121" t="s">
        <v>92</v>
      </c>
      <c r="B279" s="120" t="s">
        <v>2171</v>
      </c>
      <c r="C279" s="120" t="s">
        <v>1610</v>
      </c>
      <c r="D279" s="117">
        <v>-10500</v>
      </c>
      <c r="E279" s="117">
        <f>D279</f>
        <v>-10500</v>
      </c>
      <c r="F279" s="117"/>
      <c r="G279" s="117">
        <f>F279-D279</f>
        <v>10500</v>
      </c>
      <c r="H279" s="117">
        <f>F279-E279</f>
        <v>10500</v>
      </c>
      <c r="I279" s="45"/>
      <c r="J279" s="135"/>
      <c r="O279" s="128"/>
      <c r="P279" s="129"/>
      <c r="Q279" s="130"/>
    </row>
    <row r="280" spans="1:17" ht="13" x14ac:dyDescent="0.3">
      <c r="A280" s="121" t="s">
        <v>92</v>
      </c>
      <c r="B280" s="120" t="s">
        <v>2171</v>
      </c>
      <c r="C280" s="120" t="s">
        <v>983</v>
      </c>
      <c r="D280" s="117"/>
      <c r="E280" s="117"/>
      <c r="F280" s="117" t="e">
        <v>#VALUE!</v>
      </c>
      <c r="G280" s="117" t="e">
        <f>F280-D280</f>
        <v>#VALUE!</v>
      </c>
      <c r="H280" s="117" t="e">
        <f>F280-E280</f>
        <v>#VALUE!</v>
      </c>
      <c r="I280" s="45"/>
      <c r="J280" s="135"/>
      <c r="O280" s="128">
        <v>-39.24</v>
      </c>
      <c r="P280" s="129" t="e">
        <f>F280-O280</f>
        <v>#VALUE!</v>
      </c>
      <c r="Q280" s="130" t="e">
        <f>P280/O280</f>
        <v>#VALUE!</v>
      </c>
    </row>
    <row r="281" spans="1:17" ht="13" x14ac:dyDescent="0.3">
      <c r="A281" s="121" t="s">
        <v>92</v>
      </c>
      <c r="B281" s="120" t="s">
        <v>2171</v>
      </c>
      <c r="C281" s="120" t="s">
        <v>1828</v>
      </c>
      <c r="D281" s="117">
        <v>525</v>
      </c>
      <c r="E281" s="117">
        <f>D281</f>
        <v>525</v>
      </c>
      <c r="F281" s="117" t="e">
        <v>#VALUE!</v>
      </c>
      <c r="G281" s="117" t="e">
        <f>F281-D281</f>
        <v>#VALUE!</v>
      </c>
      <c r="H281" s="117" t="e">
        <f>F281-E281</f>
        <v>#VALUE!</v>
      </c>
      <c r="I281" s="45"/>
      <c r="J281" s="135"/>
      <c r="O281" s="128">
        <v>0</v>
      </c>
      <c r="P281" s="129" t="e">
        <f>F281-O281</f>
        <v>#VALUE!</v>
      </c>
      <c r="Q281" s="130" t="e">
        <f>P281/O281</f>
        <v>#VALUE!</v>
      </c>
    </row>
    <row r="282" spans="1:17" ht="13" x14ac:dyDescent="0.3">
      <c r="C282" s="121" t="s">
        <v>2172</v>
      </c>
      <c r="D282" s="122">
        <f>SUM(D278:D281)</f>
        <v>-83106</v>
      </c>
      <c r="E282" s="122">
        <f>SUM(E278:E281)</f>
        <v>-82261</v>
      </c>
      <c r="F282" s="122" t="e">
        <f>SUM(F278:F281)</f>
        <v>#VALUE!</v>
      </c>
      <c r="G282" s="122" t="e">
        <f>SUM(G278:G281)</f>
        <v>#VALUE!</v>
      </c>
      <c r="H282" s="122" t="e">
        <f>SUM(H278:H281)</f>
        <v>#VALUE!</v>
      </c>
      <c r="I282" s="123"/>
      <c r="J282" s="135"/>
      <c r="O282" s="131">
        <v>-117638.59</v>
      </c>
      <c r="P282" s="129" t="e">
        <f>F282-O282</f>
        <v>#VALUE!</v>
      </c>
      <c r="Q282" s="130" t="e">
        <f>P282/O282</f>
        <v>#VALUE!</v>
      </c>
    </row>
    <row r="283" spans="1:17" x14ac:dyDescent="0.25">
      <c r="D283" s="117"/>
      <c r="E283" s="117"/>
      <c r="F283" s="117"/>
      <c r="G283" s="117"/>
      <c r="H283" s="117"/>
      <c r="I283" s="45"/>
      <c r="J283" s="135"/>
      <c r="O283" s="128"/>
      <c r="P283" s="119"/>
      <c r="Q283" s="119"/>
    </row>
    <row r="284" spans="1:17" ht="13" x14ac:dyDescent="0.3">
      <c r="C284" s="121"/>
      <c r="D284" s="122"/>
      <c r="E284" s="122"/>
      <c r="F284" s="122"/>
      <c r="G284" s="122"/>
      <c r="H284" s="122"/>
      <c r="I284" s="123"/>
      <c r="O284" s="131"/>
      <c r="P284" s="119"/>
      <c r="Q284" s="119"/>
    </row>
    <row r="285" spans="1:17" ht="13" x14ac:dyDescent="0.3">
      <c r="A285" s="121" t="s">
        <v>92</v>
      </c>
      <c r="B285" s="120" t="s">
        <v>355</v>
      </c>
      <c r="C285" s="120" t="s">
        <v>1597</v>
      </c>
      <c r="D285" s="117"/>
      <c r="E285" s="117">
        <f>D285</f>
        <v>0</v>
      </c>
      <c r="F285" s="117" t="e">
        <v>#VALUE!</v>
      </c>
      <c r="G285" s="117" t="e">
        <f>F285-D285</f>
        <v>#VALUE!</v>
      </c>
      <c r="H285" s="117" t="e">
        <f>F285-E285</f>
        <v>#VALUE!</v>
      </c>
      <c r="I285" s="45"/>
      <c r="J285" s="135"/>
      <c r="O285" s="128">
        <v>-30000</v>
      </c>
      <c r="P285" s="129" t="e">
        <f>F285-O285</f>
        <v>#VALUE!</v>
      </c>
      <c r="Q285" s="130" t="e">
        <f>P285/O285</f>
        <v>#VALUE!</v>
      </c>
    </row>
    <row r="286" spans="1:17" ht="13" x14ac:dyDescent="0.3">
      <c r="C286" s="121" t="s">
        <v>2192</v>
      </c>
      <c r="D286" s="122">
        <f>SUM(D285:D285)</f>
        <v>0</v>
      </c>
      <c r="E286" s="122">
        <f>SUM(E285:E285)</f>
        <v>0</v>
      </c>
      <c r="F286" s="122" t="e">
        <f>SUM(F285:F285)</f>
        <v>#VALUE!</v>
      </c>
      <c r="G286" s="122" t="e">
        <f>SUM(G285:G285)</f>
        <v>#VALUE!</v>
      </c>
      <c r="H286" s="122" t="e">
        <f>SUM(H285:H285)</f>
        <v>#VALUE!</v>
      </c>
      <c r="I286" s="123"/>
      <c r="J286" s="135"/>
      <c r="O286" s="131">
        <v>-30000</v>
      </c>
      <c r="P286" s="129" t="e">
        <f>F286-O286</f>
        <v>#VALUE!</v>
      </c>
      <c r="Q286" s="130" t="e">
        <f>P286/O286</f>
        <v>#VALUE!</v>
      </c>
    </row>
    <row r="287" spans="1:17" x14ac:dyDescent="0.25">
      <c r="D287" s="117"/>
      <c r="E287" s="117"/>
      <c r="F287" s="117"/>
      <c r="G287" s="117"/>
      <c r="H287" s="117"/>
      <c r="I287" s="45"/>
      <c r="J287" s="135"/>
      <c r="O287" s="128"/>
      <c r="P287" s="119"/>
      <c r="Q287" s="119"/>
    </row>
    <row r="288" spans="1:17" ht="13" x14ac:dyDescent="0.3">
      <c r="A288" s="121" t="s">
        <v>92</v>
      </c>
      <c r="B288" s="120" t="s">
        <v>2211</v>
      </c>
      <c r="C288" s="120" t="s">
        <v>2212</v>
      </c>
      <c r="D288" s="117"/>
      <c r="E288" s="117"/>
      <c r="F288" s="117">
        <v>-5581.9700000000012</v>
      </c>
      <c r="G288" s="117">
        <f>F288-D288</f>
        <v>-5581.9700000000012</v>
      </c>
      <c r="H288" s="117">
        <f>F288-E288</f>
        <v>-5581.9700000000012</v>
      </c>
      <c r="I288" s="45"/>
      <c r="J288" s="135"/>
      <c r="O288" s="128">
        <v>0</v>
      </c>
      <c r="P288" s="129">
        <f>F288-O288</f>
        <v>-5581.9700000000012</v>
      </c>
      <c r="Q288" s="130" t="e">
        <f>P288/O288</f>
        <v>#DIV/0!</v>
      </c>
    </row>
    <row r="289" spans="1:17" ht="13" x14ac:dyDescent="0.3">
      <c r="A289" s="121" t="s">
        <v>92</v>
      </c>
      <c r="B289" s="120" t="s">
        <v>2211</v>
      </c>
      <c r="C289" s="120" t="s">
        <v>1616</v>
      </c>
      <c r="D289" s="117">
        <v>-135150</v>
      </c>
      <c r="E289" s="117">
        <v>-139896</v>
      </c>
      <c r="F289" s="117" t="e">
        <v>#VALUE!</v>
      </c>
      <c r="G289" s="117" t="e">
        <f>F289-D289</f>
        <v>#VALUE!</v>
      </c>
      <c r="H289" s="117" t="e">
        <f>F289-E289</f>
        <v>#VALUE!</v>
      </c>
      <c r="I289" s="45"/>
      <c r="J289" s="135"/>
      <c r="O289" s="128">
        <v>0</v>
      </c>
      <c r="P289" s="129" t="e">
        <f>F289-O289</f>
        <v>#VALUE!</v>
      </c>
      <c r="Q289" s="130" t="e">
        <f>P289/O289</f>
        <v>#VALUE!</v>
      </c>
    </row>
    <row r="290" spans="1:17" ht="13" x14ac:dyDescent="0.3">
      <c r="C290" s="121" t="s">
        <v>2213</v>
      </c>
      <c r="D290" s="122">
        <f>SUM(D288:D289)</f>
        <v>-135150</v>
      </c>
      <c r="E290" s="122">
        <f>SUM(E288:E289)</f>
        <v>-139896</v>
      </c>
      <c r="F290" s="122" t="e">
        <f>SUM(F288:F289)</f>
        <v>#VALUE!</v>
      </c>
      <c r="G290" s="122" t="e">
        <f>SUM(G288:G289)</f>
        <v>#VALUE!</v>
      </c>
      <c r="H290" s="122" t="e">
        <f>SUM(H288:H289)</f>
        <v>#VALUE!</v>
      </c>
      <c r="I290" s="123"/>
      <c r="J290" s="135"/>
      <c r="O290" s="131">
        <v>0</v>
      </c>
      <c r="P290" s="129" t="e">
        <f>F290-O290</f>
        <v>#VALUE!</v>
      </c>
      <c r="Q290" s="130" t="e">
        <f>P290/O290</f>
        <v>#VALUE!</v>
      </c>
    </row>
    <row r="291" spans="1:17" x14ac:dyDescent="0.25">
      <c r="D291" s="117"/>
      <c r="E291" s="117"/>
      <c r="F291" s="117"/>
      <c r="G291" s="117"/>
      <c r="H291" s="117"/>
      <c r="I291" s="45"/>
      <c r="J291" s="135"/>
      <c r="O291" s="128"/>
      <c r="P291" s="119"/>
      <c r="Q291" s="119"/>
    </row>
    <row r="292" spans="1:17" x14ac:dyDescent="0.25">
      <c r="D292" s="117"/>
      <c r="E292" s="117"/>
      <c r="F292" s="117"/>
      <c r="G292" s="117"/>
      <c r="H292" s="117"/>
      <c r="I292" s="45"/>
      <c r="J292" s="135"/>
      <c r="O292" s="128"/>
      <c r="P292" s="119"/>
      <c r="Q292" s="119"/>
    </row>
    <row r="293" spans="1:17" ht="13" x14ac:dyDescent="0.3">
      <c r="C293" s="121" t="s">
        <v>2156</v>
      </c>
      <c r="D293" s="122">
        <f>D246+D254+D257+D260+D264+D269+D276+D282+D290+D286</f>
        <v>15609</v>
      </c>
      <c r="E293" s="122">
        <f>E246+E254+E257+E260+E264+E269+E276+E282+E290+E286</f>
        <v>25316</v>
      </c>
      <c r="F293" s="122" t="e">
        <f>F246+F254+F257+F260+F264+F269+F276+F282+F290+F286</f>
        <v>#VALUE!</v>
      </c>
      <c r="G293" s="122" t="e">
        <f>G246+G254+G257+G260+G264+G269+G276+G282+G290+G286</f>
        <v>#VALUE!</v>
      </c>
      <c r="H293" s="122" t="e">
        <f>H246+H254+H257+H260+H264+H269+H276+H282+H290+H286</f>
        <v>#VALUE!</v>
      </c>
      <c r="I293" s="123"/>
      <c r="J293" s="135" t="e">
        <v>#VALUE!</v>
      </c>
      <c r="O293" s="131">
        <v>29745.38</v>
      </c>
      <c r="P293" s="129" t="e">
        <f>F293-O293</f>
        <v>#VALUE!</v>
      </c>
      <c r="Q293" s="130" t="e">
        <f>P293/O293</f>
        <v>#VALUE!</v>
      </c>
    </row>
    <row r="294" spans="1:17" ht="13" x14ac:dyDescent="0.3">
      <c r="D294" s="117"/>
      <c r="E294" s="122" t="e">
        <f>IF(F294="","","CHECK")</f>
        <v>#VALUE!</v>
      </c>
      <c r="F294" s="122" t="e">
        <v>#VALUE!</v>
      </c>
      <c r="G294" s="117"/>
      <c r="H294" s="117"/>
      <c r="I294" s="45"/>
      <c r="J294" s="135"/>
      <c r="O294" s="128"/>
      <c r="P294" s="119"/>
      <c r="Q294" s="119"/>
    </row>
    <row r="295" spans="1:17" ht="13" x14ac:dyDescent="0.3">
      <c r="A295" s="121" t="s">
        <v>90</v>
      </c>
      <c r="B295" s="120" t="s">
        <v>53</v>
      </c>
      <c r="C295" s="120" t="s">
        <v>1621</v>
      </c>
      <c r="D295" s="117">
        <v>758</v>
      </c>
      <c r="E295" s="117">
        <f>D295</f>
        <v>758</v>
      </c>
      <c r="F295" s="117" t="e">
        <v>#VALUE!</v>
      </c>
      <c r="G295" s="117" t="e">
        <f>F295-D295</f>
        <v>#VALUE!</v>
      </c>
      <c r="H295" s="117" t="e">
        <f>F295-E295</f>
        <v>#VALUE!</v>
      </c>
      <c r="I295" s="45"/>
      <c r="J295" s="135"/>
      <c r="O295" s="128">
        <v>533.54</v>
      </c>
      <c r="P295" s="129" t="e">
        <f>F295-O295</f>
        <v>#VALUE!</v>
      </c>
      <c r="Q295" s="130" t="e">
        <f>P295/O295</f>
        <v>#VALUE!</v>
      </c>
    </row>
    <row r="296" spans="1:17" ht="13" x14ac:dyDescent="0.3">
      <c r="A296" s="121" t="s">
        <v>90</v>
      </c>
      <c r="B296" s="120" t="s">
        <v>53</v>
      </c>
      <c r="C296" s="120" t="s">
        <v>2245</v>
      </c>
      <c r="D296" s="117">
        <v>537</v>
      </c>
      <c r="E296" s="117">
        <v>537</v>
      </c>
      <c r="F296" s="117" t="e">
        <v>#VALUE!</v>
      </c>
      <c r="G296" s="117" t="e">
        <f>F296-D296</f>
        <v>#VALUE!</v>
      </c>
      <c r="H296" s="117" t="e">
        <f>F296-E296</f>
        <v>#VALUE!</v>
      </c>
      <c r="I296" s="45"/>
      <c r="J296" s="135"/>
      <c r="O296" s="128"/>
      <c r="P296" s="129"/>
      <c r="Q296" s="130"/>
    </row>
    <row r="297" spans="1:17" ht="13" x14ac:dyDescent="0.3">
      <c r="A297" s="121" t="s">
        <v>90</v>
      </c>
      <c r="B297" s="120" t="s">
        <v>53</v>
      </c>
      <c r="C297" s="120" t="s">
        <v>816</v>
      </c>
      <c r="D297" s="117">
        <v>0</v>
      </c>
      <c r="E297" s="117">
        <v>0</v>
      </c>
      <c r="F297" s="117" t="e">
        <v>#VALUE!</v>
      </c>
      <c r="G297" s="117" t="e">
        <f>F297-D297</f>
        <v>#VALUE!</v>
      </c>
      <c r="H297" s="117" t="e">
        <f>F297-E297</f>
        <v>#VALUE!</v>
      </c>
      <c r="I297" s="45"/>
      <c r="J297" s="135"/>
      <c r="O297" s="128"/>
      <c r="P297" s="129"/>
      <c r="Q297" s="130"/>
    </row>
    <row r="298" spans="1:17" ht="13" x14ac:dyDescent="0.3">
      <c r="C298" s="121" t="s">
        <v>2164</v>
      </c>
      <c r="D298" s="122">
        <f>SUM(D295:D297)</f>
        <v>1295</v>
      </c>
      <c r="E298" s="122">
        <f>SUM(E295:E297)</f>
        <v>1295</v>
      </c>
      <c r="F298" s="122" t="e">
        <f>SUM(F295:F297)</f>
        <v>#VALUE!</v>
      </c>
      <c r="G298" s="122" t="e">
        <f>SUM(G295:G297)</f>
        <v>#VALUE!</v>
      </c>
      <c r="H298" s="122" t="e">
        <f>SUM(H295:H297)</f>
        <v>#VALUE!</v>
      </c>
      <c r="I298" s="123"/>
      <c r="J298" s="135"/>
      <c r="O298" s="131">
        <v>533.54</v>
      </c>
      <c r="P298" s="129" t="e">
        <f>F298-O298</f>
        <v>#VALUE!</v>
      </c>
      <c r="Q298" s="130" t="e">
        <f>P298/O298</f>
        <v>#VALUE!</v>
      </c>
    </row>
    <row r="299" spans="1:17" x14ac:dyDescent="0.25">
      <c r="D299" s="117"/>
      <c r="E299" s="117"/>
      <c r="F299" s="117"/>
      <c r="G299" s="117"/>
      <c r="H299" s="117"/>
      <c r="I299" s="45"/>
      <c r="J299" s="135"/>
      <c r="O299" s="128"/>
      <c r="P299" s="119"/>
      <c r="Q299" s="119"/>
    </row>
    <row r="300" spans="1:17" ht="13" x14ac:dyDescent="0.3">
      <c r="A300" s="121" t="s">
        <v>90</v>
      </c>
      <c r="B300" s="120" t="s">
        <v>757</v>
      </c>
      <c r="C300" s="120" t="s">
        <v>956</v>
      </c>
      <c r="D300" s="117">
        <v>909</v>
      </c>
      <c r="E300" s="117">
        <f>D300</f>
        <v>909</v>
      </c>
      <c r="F300" s="117" t="e">
        <v>#VALUE!</v>
      </c>
      <c r="G300" s="117" t="e">
        <f t="shared" ref="G300:G313" si="39">F300-D300</f>
        <v>#VALUE!</v>
      </c>
      <c r="H300" s="117" t="e">
        <f>F300-E300</f>
        <v>#VALUE!</v>
      </c>
      <c r="I300" s="45"/>
      <c r="J300" s="135"/>
      <c r="O300" s="128">
        <v>0</v>
      </c>
      <c r="P300" s="129" t="e">
        <f>F300-O300</f>
        <v>#VALUE!</v>
      </c>
      <c r="Q300" s="130" t="e">
        <f>P300/O300</f>
        <v>#VALUE!</v>
      </c>
    </row>
    <row r="301" spans="1:17" ht="13" x14ac:dyDescent="0.3">
      <c r="A301" s="121" t="s">
        <v>90</v>
      </c>
      <c r="B301" s="120" t="s">
        <v>757</v>
      </c>
      <c r="C301" s="120" t="s">
        <v>1669</v>
      </c>
      <c r="D301" s="117">
        <v>541</v>
      </c>
      <c r="E301" s="117">
        <f>D301</f>
        <v>541</v>
      </c>
      <c r="F301" s="117" t="e">
        <v>#VALUE!</v>
      </c>
      <c r="G301" s="117" t="e">
        <f t="shared" si="39"/>
        <v>#VALUE!</v>
      </c>
      <c r="H301" s="117" t="e">
        <f>F301-E301</f>
        <v>#VALUE!</v>
      </c>
      <c r="I301" s="45"/>
      <c r="J301" s="135"/>
      <c r="O301" s="128">
        <v>16.5</v>
      </c>
      <c r="P301" s="129" t="e">
        <f>F301-O301</f>
        <v>#VALUE!</v>
      </c>
      <c r="Q301" s="130" t="e">
        <f>P301/O301</f>
        <v>#VALUE!</v>
      </c>
    </row>
    <row r="302" spans="1:17" ht="13" x14ac:dyDescent="0.3">
      <c r="A302" s="121" t="s">
        <v>90</v>
      </c>
      <c r="B302" s="120" t="s">
        <v>757</v>
      </c>
      <c r="C302" s="120" t="s">
        <v>1671</v>
      </c>
      <c r="D302" s="117">
        <v>2050</v>
      </c>
      <c r="E302" s="117">
        <v>2050</v>
      </c>
      <c r="F302" s="117" t="e">
        <v>#VALUE!</v>
      </c>
      <c r="G302" s="117" t="e">
        <f t="shared" si="39"/>
        <v>#VALUE!</v>
      </c>
      <c r="H302" s="117" t="e">
        <f>F302-E302</f>
        <v>#VALUE!</v>
      </c>
      <c r="I302" s="45"/>
      <c r="J302" s="135"/>
      <c r="O302" s="128">
        <v>805.44</v>
      </c>
      <c r="P302" s="129" t="e">
        <f>F302-O302</f>
        <v>#VALUE!</v>
      </c>
      <c r="Q302" s="130" t="e">
        <f>P302/O302</f>
        <v>#VALUE!</v>
      </c>
    </row>
    <row r="303" spans="1:17" ht="13" x14ac:dyDescent="0.3">
      <c r="A303" s="121" t="s">
        <v>90</v>
      </c>
      <c r="B303" s="120" t="s">
        <v>757</v>
      </c>
      <c r="C303" s="120" t="s">
        <v>1619</v>
      </c>
      <c r="D303" s="117">
        <v>17913</v>
      </c>
      <c r="E303" s="117">
        <v>18355</v>
      </c>
      <c r="F303" s="117" t="e">
        <v>#VALUE!</v>
      </c>
      <c r="G303" s="117" t="e">
        <f t="shared" si="39"/>
        <v>#VALUE!</v>
      </c>
      <c r="H303" s="117" t="e">
        <f>F303-E303</f>
        <v>#VALUE!</v>
      </c>
      <c r="I303" s="45"/>
      <c r="J303" s="135"/>
      <c r="O303" s="128"/>
      <c r="P303" s="129"/>
      <c r="Q303" s="130"/>
    </row>
    <row r="304" spans="1:17" ht="13" x14ac:dyDescent="0.3">
      <c r="A304" s="121" t="s">
        <v>90</v>
      </c>
      <c r="B304" s="120" t="s">
        <v>757</v>
      </c>
      <c r="C304" s="120" t="s">
        <v>2214</v>
      </c>
      <c r="D304" s="117">
        <v>1576</v>
      </c>
      <c r="E304" s="117">
        <f>D304</f>
        <v>1576</v>
      </c>
      <c r="F304" s="117"/>
      <c r="G304" s="117">
        <f t="shared" si="39"/>
        <v>-1576</v>
      </c>
      <c r="H304" s="117">
        <f t="shared" ref="H304:H313" si="40">F304-E304</f>
        <v>-1576</v>
      </c>
      <c r="I304" s="45"/>
      <c r="J304" s="135"/>
      <c r="O304" s="128"/>
      <c r="P304" s="129"/>
      <c r="Q304" s="130"/>
    </row>
    <row r="305" spans="1:17" ht="13" x14ac:dyDescent="0.3">
      <c r="A305" s="121" t="s">
        <v>90</v>
      </c>
      <c r="B305" s="120" t="s">
        <v>757</v>
      </c>
      <c r="C305" s="120" t="s">
        <v>1543</v>
      </c>
      <c r="D305" s="117">
        <v>200</v>
      </c>
      <c r="E305" s="117">
        <f>D305</f>
        <v>200</v>
      </c>
      <c r="F305" s="117" t="e">
        <v>#VALUE!</v>
      </c>
      <c r="G305" s="117" t="e">
        <f t="shared" si="39"/>
        <v>#VALUE!</v>
      </c>
      <c r="H305" s="117" t="e">
        <f t="shared" si="40"/>
        <v>#VALUE!</v>
      </c>
      <c r="I305" s="45"/>
      <c r="J305" s="135"/>
      <c r="O305" s="128">
        <v>34.950000000000003</v>
      </c>
      <c r="P305" s="129" t="e">
        <f t="shared" ref="P305:P312" si="41">F305-O305</f>
        <v>#VALUE!</v>
      </c>
      <c r="Q305" s="130" t="e">
        <f t="shared" ref="Q305:Q312" si="42">P305/O305</f>
        <v>#VALUE!</v>
      </c>
    </row>
    <row r="306" spans="1:17" ht="13" x14ac:dyDescent="0.3">
      <c r="A306" s="121" t="s">
        <v>90</v>
      </c>
      <c r="B306" s="120" t="s">
        <v>757</v>
      </c>
      <c r="C306" s="120" t="s">
        <v>1660</v>
      </c>
      <c r="D306" s="117">
        <v>9969</v>
      </c>
      <c r="E306" s="117">
        <f>D306</f>
        <v>9969</v>
      </c>
      <c r="F306" s="117" t="e">
        <v>#VALUE!</v>
      </c>
      <c r="G306" s="117" t="e">
        <f t="shared" si="39"/>
        <v>#VALUE!</v>
      </c>
      <c r="H306" s="117" t="e">
        <f t="shared" si="40"/>
        <v>#VALUE!</v>
      </c>
      <c r="I306" s="45"/>
      <c r="J306" s="135"/>
      <c r="O306" s="128">
        <v>190.85</v>
      </c>
      <c r="P306" s="129" t="e">
        <f t="shared" si="41"/>
        <v>#VALUE!</v>
      </c>
      <c r="Q306" s="130" t="e">
        <f t="shared" si="42"/>
        <v>#VALUE!</v>
      </c>
    </row>
    <row r="307" spans="1:17" ht="13" x14ac:dyDescent="0.3">
      <c r="A307" s="121" t="s">
        <v>90</v>
      </c>
      <c r="B307" s="120" t="s">
        <v>757</v>
      </c>
      <c r="C307" s="120" t="s">
        <v>1662</v>
      </c>
      <c r="D307" s="117"/>
      <c r="E307" s="117"/>
      <c r="F307" s="117" t="e">
        <v>#VALUE!</v>
      </c>
      <c r="G307" s="117" t="e">
        <f t="shared" si="39"/>
        <v>#VALUE!</v>
      </c>
      <c r="H307" s="117" t="e">
        <f t="shared" si="40"/>
        <v>#VALUE!</v>
      </c>
      <c r="I307" s="45"/>
      <c r="J307" s="135"/>
      <c r="O307" s="128">
        <v>525</v>
      </c>
      <c r="P307" s="129" t="e">
        <f t="shared" si="41"/>
        <v>#VALUE!</v>
      </c>
      <c r="Q307" s="130" t="e">
        <f t="shared" si="42"/>
        <v>#VALUE!</v>
      </c>
    </row>
    <row r="308" spans="1:17" ht="13" x14ac:dyDescent="0.3">
      <c r="A308" s="121" t="s">
        <v>90</v>
      </c>
      <c r="B308" s="120" t="s">
        <v>757</v>
      </c>
      <c r="C308" s="120" t="s">
        <v>1664</v>
      </c>
      <c r="D308" s="117"/>
      <c r="E308" s="117"/>
      <c r="F308" s="117" t="e">
        <v>#VALUE!</v>
      </c>
      <c r="G308" s="117" t="e">
        <f t="shared" si="39"/>
        <v>#VALUE!</v>
      </c>
      <c r="H308" s="117" t="e">
        <f t="shared" si="40"/>
        <v>#VALUE!</v>
      </c>
      <c r="I308" s="45"/>
      <c r="J308" s="135"/>
      <c r="O308" s="128">
        <v>945.96</v>
      </c>
      <c r="P308" s="129" t="e">
        <f t="shared" si="41"/>
        <v>#VALUE!</v>
      </c>
      <c r="Q308" s="130" t="e">
        <f t="shared" si="42"/>
        <v>#VALUE!</v>
      </c>
    </row>
    <row r="309" spans="1:17" ht="13" x14ac:dyDescent="0.3">
      <c r="A309" s="121" t="s">
        <v>90</v>
      </c>
      <c r="B309" s="120" t="s">
        <v>757</v>
      </c>
      <c r="C309" s="120" t="s">
        <v>1658</v>
      </c>
      <c r="D309" s="117"/>
      <c r="E309" s="117"/>
      <c r="F309" s="117" t="e">
        <v>#VALUE!</v>
      </c>
      <c r="G309" s="117" t="e">
        <f t="shared" si="39"/>
        <v>#VALUE!</v>
      </c>
      <c r="H309" s="117" t="e">
        <f t="shared" si="40"/>
        <v>#VALUE!</v>
      </c>
      <c r="I309" s="45"/>
      <c r="J309" s="135"/>
      <c r="O309" s="128">
        <v>0</v>
      </c>
      <c r="P309" s="129" t="e">
        <f t="shared" si="41"/>
        <v>#VALUE!</v>
      </c>
      <c r="Q309" s="130" t="e">
        <f t="shared" si="42"/>
        <v>#VALUE!</v>
      </c>
    </row>
    <row r="310" spans="1:17" ht="13" x14ac:dyDescent="0.3">
      <c r="A310" s="121" t="s">
        <v>90</v>
      </c>
      <c r="B310" s="120" t="s">
        <v>757</v>
      </c>
      <c r="C310" s="120" t="s">
        <v>1656</v>
      </c>
      <c r="D310" s="117"/>
      <c r="E310" s="117"/>
      <c r="F310" s="117" t="e">
        <v>#VALUE!</v>
      </c>
      <c r="G310" s="117" t="e">
        <f t="shared" si="39"/>
        <v>#VALUE!</v>
      </c>
      <c r="H310" s="117" t="e">
        <f t="shared" si="40"/>
        <v>#VALUE!</v>
      </c>
      <c r="I310" s="45"/>
      <c r="J310" s="135"/>
      <c r="O310" s="128">
        <v>4456</v>
      </c>
      <c r="P310" s="129" t="e">
        <f t="shared" si="41"/>
        <v>#VALUE!</v>
      </c>
      <c r="Q310" s="130" t="e">
        <f t="shared" si="42"/>
        <v>#VALUE!</v>
      </c>
    </row>
    <row r="311" spans="1:17" ht="13" x14ac:dyDescent="0.3">
      <c r="A311" s="121" t="s">
        <v>90</v>
      </c>
      <c r="B311" s="120" t="s">
        <v>757</v>
      </c>
      <c r="C311" s="120" t="s">
        <v>1654</v>
      </c>
      <c r="D311" s="117"/>
      <c r="E311" s="117"/>
      <c r="F311" s="117" t="e">
        <v>#VALUE!</v>
      </c>
      <c r="G311" s="117" t="e">
        <f t="shared" si="39"/>
        <v>#VALUE!</v>
      </c>
      <c r="H311" s="117" t="e">
        <f t="shared" si="40"/>
        <v>#VALUE!</v>
      </c>
      <c r="I311" s="45"/>
      <c r="J311" s="135"/>
      <c r="O311" s="128">
        <v>367.18</v>
      </c>
      <c r="P311" s="129" t="e">
        <f t="shared" si="41"/>
        <v>#VALUE!</v>
      </c>
      <c r="Q311" s="130" t="e">
        <f t="shared" si="42"/>
        <v>#VALUE!</v>
      </c>
    </row>
    <row r="312" spans="1:17" ht="13" x14ac:dyDescent="0.3">
      <c r="A312" s="121" t="s">
        <v>90</v>
      </c>
      <c r="B312" s="120" t="s">
        <v>757</v>
      </c>
      <c r="C312" s="120" t="s">
        <v>1666</v>
      </c>
      <c r="D312" s="117"/>
      <c r="E312" s="117"/>
      <c r="F312" s="117" t="e">
        <v>#VALUE!</v>
      </c>
      <c r="G312" s="117" t="e">
        <f t="shared" si="39"/>
        <v>#VALUE!</v>
      </c>
      <c r="H312" s="117" t="e">
        <f t="shared" si="40"/>
        <v>#VALUE!</v>
      </c>
      <c r="I312" s="45"/>
      <c r="J312" s="135"/>
      <c r="O312" s="128">
        <v>0</v>
      </c>
      <c r="P312" s="129" t="e">
        <f t="shared" si="41"/>
        <v>#VALUE!</v>
      </c>
      <c r="Q312" s="130" t="e">
        <f t="shared" si="42"/>
        <v>#VALUE!</v>
      </c>
    </row>
    <row r="313" spans="1:17" ht="13" x14ac:dyDescent="0.3">
      <c r="A313" s="121" t="s">
        <v>90</v>
      </c>
      <c r="B313" s="120" t="s">
        <v>757</v>
      </c>
      <c r="C313" s="120" t="s">
        <v>1155</v>
      </c>
      <c r="D313" s="117"/>
      <c r="E313" s="117"/>
      <c r="F313" s="117" t="e">
        <v>#VALUE!</v>
      </c>
      <c r="G313" s="117" t="e">
        <f t="shared" si="39"/>
        <v>#VALUE!</v>
      </c>
      <c r="H313" s="117" t="e">
        <f t="shared" si="40"/>
        <v>#VALUE!</v>
      </c>
      <c r="I313" s="45"/>
      <c r="J313" s="135"/>
      <c r="O313" s="128"/>
      <c r="P313" s="129"/>
      <c r="Q313" s="130"/>
    </row>
    <row r="314" spans="1:17" ht="13" x14ac:dyDescent="0.3">
      <c r="A314" s="121" t="s">
        <v>90</v>
      </c>
      <c r="B314" s="120" t="s">
        <v>757</v>
      </c>
      <c r="C314" s="120" t="s">
        <v>141</v>
      </c>
      <c r="D314" s="117"/>
      <c r="E314" s="117"/>
      <c r="F314" s="117" t="e">
        <v>#VALUE!</v>
      </c>
      <c r="G314" s="117"/>
      <c r="H314" s="117"/>
      <c r="I314" s="45"/>
      <c r="J314" s="135"/>
      <c r="O314" s="128"/>
      <c r="P314" s="129"/>
      <c r="Q314" s="130"/>
    </row>
    <row r="315" spans="1:17" ht="13" x14ac:dyDescent="0.3">
      <c r="A315" s="121" t="s">
        <v>90</v>
      </c>
      <c r="B315" s="120" t="s">
        <v>757</v>
      </c>
      <c r="C315" s="120" t="s">
        <v>1506</v>
      </c>
      <c r="D315" s="117"/>
      <c r="E315" s="117"/>
      <c r="F315" s="117" t="e">
        <v>#VALUE!</v>
      </c>
      <c r="G315" s="117" t="e">
        <f>F315-D315</f>
        <v>#VALUE!</v>
      </c>
      <c r="H315" s="117" t="e">
        <f t="shared" ref="H315:H321" si="43">F315-E315</f>
        <v>#VALUE!</v>
      </c>
      <c r="I315" s="45"/>
      <c r="J315" s="135"/>
      <c r="O315" s="128">
        <v>130.43</v>
      </c>
      <c r="P315" s="129" t="e">
        <f>F315-O315</f>
        <v>#VALUE!</v>
      </c>
      <c r="Q315" s="130" t="e">
        <f>P315/O315</f>
        <v>#VALUE!</v>
      </c>
    </row>
    <row r="316" spans="1:17" ht="13" x14ac:dyDescent="0.3">
      <c r="A316" s="121" t="s">
        <v>90</v>
      </c>
      <c r="B316" s="120" t="s">
        <v>757</v>
      </c>
      <c r="C316" s="120" t="s">
        <v>1508</v>
      </c>
      <c r="D316" s="117">
        <v>479</v>
      </c>
      <c r="E316" s="117">
        <f>D316</f>
        <v>479</v>
      </c>
      <c r="F316" s="117" t="e">
        <v>#VALUE!</v>
      </c>
      <c r="G316" s="117" t="e">
        <f t="shared" ref="G316:G321" si="44">F316-D316</f>
        <v>#VALUE!</v>
      </c>
      <c r="H316" s="117" t="e">
        <f t="shared" si="43"/>
        <v>#VALUE!</v>
      </c>
      <c r="I316" s="45"/>
      <c r="J316" s="135"/>
      <c r="O316" s="128">
        <v>0</v>
      </c>
      <c r="P316" s="129" t="e">
        <f>F316-O316</f>
        <v>#VALUE!</v>
      </c>
      <c r="Q316" s="130" t="e">
        <f>P316/O316</f>
        <v>#VALUE!</v>
      </c>
    </row>
    <row r="317" spans="1:17" ht="13" x14ac:dyDescent="0.3">
      <c r="A317" s="121" t="s">
        <v>90</v>
      </c>
      <c r="B317" s="120" t="s">
        <v>757</v>
      </c>
      <c r="C317" s="120" t="s">
        <v>1719</v>
      </c>
      <c r="D317" s="117">
        <v>284</v>
      </c>
      <c r="E317" s="117">
        <f>D317</f>
        <v>284</v>
      </c>
      <c r="F317" s="117" t="e">
        <v>#VALUE!</v>
      </c>
      <c r="G317" s="117" t="e">
        <f t="shared" si="44"/>
        <v>#VALUE!</v>
      </c>
      <c r="H317" s="117" t="e">
        <f t="shared" si="43"/>
        <v>#VALUE!</v>
      </c>
      <c r="I317" s="45"/>
      <c r="J317" s="135"/>
      <c r="O317" s="128">
        <v>314.94</v>
      </c>
      <c r="P317" s="129" t="e">
        <f>F317-O317</f>
        <v>#VALUE!</v>
      </c>
      <c r="Q317" s="130" t="e">
        <f>P317/O317</f>
        <v>#VALUE!</v>
      </c>
    </row>
    <row r="318" spans="1:17" ht="13" x14ac:dyDescent="0.3">
      <c r="A318" s="121" t="s">
        <v>90</v>
      </c>
      <c r="B318" s="120" t="s">
        <v>757</v>
      </c>
      <c r="C318" s="120" t="s">
        <v>1721</v>
      </c>
      <c r="D318" s="117">
        <v>168</v>
      </c>
      <c r="E318" s="117">
        <f>D318</f>
        <v>168</v>
      </c>
      <c r="F318" s="117" t="e">
        <v>#VALUE!</v>
      </c>
      <c r="G318" s="117" t="e">
        <f t="shared" si="44"/>
        <v>#VALUE!</v>
      </c>
      <c r="H318" s="117" t="e">
        <f t="shared" si="43"/>
        <v>#VALUE!</v>
      </c>
      <c r="I318" s="45"/>
      <c r="J318" s="135"/>
      <c r="O318" s="128">
        <v>83.83</v>
      </c>
      <c r="P318" s="129" t="e">
        <f>F318-O318</f>
        <v>#VALUE!</v>
      </c>
      <c r="Q318" s="130" t="e">
        <f>P318/O318</f>
        <v>#VALUE!</v>
      </c>
    </row>
    <row r="319" spans="1:17" ht="13" x14ac:dyDescent="0.3">
      <c r="A319" s="121" t="s">
        <v>90</v>
      </c>
      <c r="B319" s="120" t="s">
        <v>757</v>
      </c>
      <c r="C319" s="120" t="s">
        <v>2215</v>
      </c>
      <c r="D319" s="117">
        <v>158</v>
      </c>
      <c r="E319" s="117">
        <f>D319</f>
        <v>158</v>
      </c>
      <c r="F319" s="117"/>
      <c r="G319" s="117">
        <f t="shared" si="44"/>
        <v>-158</v>
      </c>
      <c r="H319" s="117">
        <f t="shared" si="43"/>
        <v>-158</v>
      </c>
      <c r="I319" s="45"/>
      <c r="J319" s="135"/>
      <c r="O319" s="128"/>
      <c r="P319" s="129"/>
      <c r="Q319" s="130"/>
    </row>
    <row r="320" spans="1:17" ht="13" x14ac:dyDescent="0.3">
      <c r="A320" s="121" t="s">
        <v>90</v>
      </c>
      <c r="B320" s="120" t="s">
        <v>757</v>
      </c>
      <c r="C320" s="120" t="s">
        <v>2216</v>
      </c>
      <c r="D320" s="117"/>
      <c r="E320" s="117"/>
      <c r="F320" s="117" t="e">
        <v>#VALUE!</v>
      </c>
      <c r="G320" s="117" t="e">
        <f>F320-D320</f>
        <v>#VALUE!</v>
      </c>
      <c r="H320" s="117" t="e">
        <f t="shared" si="43"/>
        <v>#VALUE!</v>
      </c>
      <c r="I320" s="45"/>
      <c r="J320" s="135"/>
      <c r="O320" s="128">
        <v>-2000</v>
      </c>
      <c r="P320" s="129" t="e">
        <f>F320-O320</f>
        <v>#VALUE!</v>
      </c>
      <c r="Q320" s="130" t="e">
        <f>P320/O320</f>
        <v>#VALUE!</v>
      </c>
    </row>
    <row r="321" spans="1:17" ht="13" x14ac:dyDescent="0.3">
      <c r="A321" s="121" t="s">
        <v>90</v>
      </c>
      <c r="B321" s="120" t="s">
        <v>757</v>
      </c>
      <c r="C321" s="120" t="s">
        <v>2217</v>
      </c>
      <c r="D321" s="117"/>
      <c r="E321" s="117"/>
      <c r="F321" s="117" t="e">
        <v>#VALUE!</v>
      </c>
      <c r="G321" s="117" t="e">
        <f t="shared" si="44"/>
        <v>#VALUE!</v>
      </c>
      <c r="H321" s="117" t="e">
        <f t="shared" si="43"/>
        <v>#VALUE!</v>
      </c>
      <c r="I321" s="45"/>
      <c r="J321" s="135"/>
      <c r="O321" s="128">
        <v>0</v>
      </c>
      <c r="P321" s="129" t="e">
        <f>F321-O321</f>
        <v>#VALUE!</v>
      </c>
      <c r="Q321" s="130" t="e">
        <f>P321/O321</f>
        <v>#VALUE!</v>
      </c>
    </row>
    <row r="322" spans="1:17" ht="13" x14ac:dyDescent="0.3">
      <c r="C322" s="121" t="s">
        <v>2168</v>
      </c>
      <c r="D322" s="122">
        <f>SUM(D300:D321)</f>
        <v>34247</v>
      </c>
      <c r="E322" s="122">
        <f>SUM(E300:E321)</f>
        <v>34689</v>
      </c>
      <c r="F322" s="122" t="e">
        <f>SUM(F300:F321)</f>
        <v>#VALUE!</v>
      </c>
      <c r="G322" s="122" t="e">
        <f>SUM(G300:G321)</f>
        <v>#VALUE!</v>
      </c>
      <c r="H322" s="122" t="e">
        <f>SUM(H300:H321)</f>
        <v>#VALUE!</v>
      </c>
      <c r="I322" s="123"/>
      <c r="J322" s="135"/>
      <c r="O322" s="131">
        <v>7871.08</v>
      </c>
      <c r="P322" s="129" t="e">
        <f>F322-O322</f>
        <v>#VALUE!</v>
      </c>
      <c r="Q322" s="130" t="e">
        <f>P322/O322</f>
        <v>#VALUE!</v>
      </c>
    </row>
    <row r="323" spans="1:17" x14ac:dyDescent="0.25">
      <c r="D323" s="117"/>
      <c r="E323" s="117"/>
      <c r="F323" s="117"/>
      <c r="G323" s="117"/>
      <c r="H323" s="117"/>
      <c r="I323" s="45"/>
      <c r="J323" s="135"/>
      <c r="O323" s="128"/>
      <c r="P323" s="119"/>
      <c r="Q323" s="119"/>
    </row>
    <row r="324" spans="1:17" ht="13" x14ac:dyDescent="0.3">
      <c r="A324" s="121" t="s">
        <v>90</v>
      </c>
      <c r="B324" s="120" t="s">
        <v>2180</v>
      </c>
      <c r="C324" s="120" t="s">
        <v>141</v>
      </c>
      <c r="D324" s="117"/>
      <c r="E324" s="117"/>
      <c r="F324" s="117" t="e">
        <v>#VALUE!</v>
      </c>
      <c r="G324" s="117" t="e">
        <f>F324-D324</f>
        <v>#VALUE!</v>
      </c>
      <c r="H324" s="117" t="e">
        <f>F324-E324</f>
        <v>#VALUE!</v>
      </c>
      <c r="I324" s="45"/>
      <c r="J324" s="135"/>
      <c r="O324" s="128">
        <v>11622</v>
      </c>
      <c r="P324" s="129" t="e">
        <f>F324-O324</f>
        <v>#VALUE!</v>
      </c>
      <c r="Q324" s="130" t="e">
        <f>P324/O324</f>
        <v>#VALUE!</v>
      </c>
    </row>
    <row r="325" spans="1:17" ht="13" x14ac:dyDescent="0.3">
      <c r="A325" s="121" t="s">
        <v>90</v>
      </c>
      <c r="B325" s="120" t="s">
        <v>2180</v>
      </c>
      <c r="C325" s="120" t="s">
        <v>1506</v>
      </c>
      <c r="D325" s="117">
        <v>300</v>
      </c>
      <c r="E325" s="117">
        <f>D325</f>
        <v>300</v>
      </c>
      <c r="F325" s="117"/>
      <c r="G325" s="117">
        <f>F325-D325</f>
        <v>-300</v>
      </c>
      <c r="H325" s="117">
        <f>F325-E325</f>
        <v>-300</v>
      </c>
      <c r="I325" s="45"/>
      <c r="J325" s="135"/>
      <c r="O325" s="128">
        <v>130.43</v>
      </c>
      <c r="P325" s="129">
        <f>F325-O325</f>
        <v>-130.43</v>
      </c>
      <c r="Q325" s="130">
        <f>P325/O325</f>
        <v>-1</v>
      </c>
    </row>
    <row r="326" spans="1:17" ht="13" x14ac:dyDescent="0.3">
      <c r="A326" s="121" t="s">
        <v>90</v>
      </c>
      <c r="B326" s="120" t="s">
        <v>2180</v>
      </c>
      <c r="C326" s="120" t="s">
        <v>322</v>
      </c>
      <c r="D326" s="117">
        <v>299</v>
      </c>
      <c r="E326" s="117">
        <f>D326</f>
        <v>299</v>
      </c>
      <c r="F326" s="117" t="e">
        <v>#VALUE!</v>
      </c>
      <c r="G326" s="117" t="e">
        <f>F326-D326</f>
        <v>#VALUE!</v>
      </c>
      <c r="H326" s="117" t="e">
        <f>F326-E326</f>
        <v>#VALUE!</v>
      </c>
      <c r="I326" s="45"/>
      <c r="J326" s="135"/>
      <c r="O326" s="128">
        <v>0</v>
      </c>
      <c r="P326" s="129" t="e">
        <f>F326-O326</f>
        <v>#VALUE!</v>
      </c>
      <c r="Q326" s="130" t="e">
        <f>P326/O326</f>
        <v>#VALUE!</v>
      </c>
    </row>
    <row r="327" spans="1:17" ht="13" x14ac:dyDescent="0.3">
      <c r="A327" s="121" t="s">
        <v>90</v>
      </c>
      <c r="B327" s="120" t="s">
        <v>2180</v>
      </c>
      <c r="C327" s="120" t="s">
        <v>321</v>
      </c>
      <c r="D327" s="117"/>
      <c r="E327" s="117"/>
      <c r="F327" s="117" t="e">
        <v>#VALUE!</v>
      </c>
      <c r="G327" s="117" t="e">
        <f>F327-D327</f>
        <v>#VALUE!</v>
      </c>
      <c r="H327" s="117" t="e">
        <f>F327-E327</f>
        <v>#VALUE!</v>
      </c>
      <c r="I327" s="45"/>
      <c r="J327" s="135"/>
      <c r="O327" s="128"/>
      <c r="P327" s="129"/>
      <c r="Q327" s="130"/>
    </row>
    <row r="328" spans="1:17" ht="13" x14ac:dyDescent="0.3">
      <c r="C328" s="121" t="s">
        <v>2184</v>
      </c>
      <c r="D328" s="122">
        <f>SUM(D324:D327)</f>
        <v>599</v>
      </c>
      <c r="E328" s="122">
        <f>SUM(E324:E327)</f>
        <v>599</v>
      </c>
      <c r="F328" s="122" t="e">
        <f>SUM(F324:F327)</f>
        <v>#VALUE!</v>
      </c>
      <c r="G328" s="122" t="e">
        <f>SUM(G320:G327)</f>
        <v>#VALUE!</v>
      </c>
      <c r="H328" s="122" t="e">
        <f>SUM(H320:H327)</f>
        <v>#VALUE!</v>
      </c>
      <c r="I328" s="123"/>
      <c r="J328" s="135"/>
      <c r="O328" s="131">
        <v>9622</v>
      </c>
      <c r="P328" s="129" t="e">
        <f>F328-O328</f>
        <v>#VALUE!</v>
      </c>
      <c r="Q328" s="130" t="e">
        <f>P328/O328</f>
        <v>#VALUE!</v>
      </c>
    </row>
    <row r="329" spans="1:17" x14ac:dyDescent="0.25">
      <c r="D329" s="117"/>
      <c r="E329" s="117"/>
      <c r="F329" s="117"/>
      <c r="G329" s="117"/>
      <c r="H329" s="117"/>
      <c r="I329" s="45"/>
      <c r="J329" s="135"/>
      <c r="O329" s="128"/>
      <c r="P329" s="119"/>
      <c r="Q329" s="119"/>
    </row>
    <row r="330" spans="1:17" ht="13" x14ac:dyDescent="0.3">
      <c r="A330" s="121" t="s">
        <v>90</v>
      </c>
      <c r="B330" s="120" t="s">
        <v>782</v>
      </c>
      <c r="C330" s="120" t="s">
        <v>784</v>
      </c>
      <c r="D330" s="117"/>
      <c r="E330" s="117"/>
      <c r="F330" s="117" t="e">
        <v>#VALUE!</v>
      </c>
      <c r="G330" s="117" t="e">
        <f>F330-D330</f>
        <v>#VALUE!</v>
      </c>
      <c r="H330" s="117" t="e">
        <f>F330-E330</f>
        <v>#VALUE!</v>
      </c>
      <c r="I330" s="45"/>
      <c r="J330" s="135"/>
      <c r="O330" s="128">
        <v>20240.150000000001</v>
      </c>
      <c r="P330" s="129" t="e">
        <f>F330-O330</f>
        <v>#VALUE!</v>
      </c>
      <c r="Q330" s="130" t="e">
        <f>P330/O330</f>
        <v>#VALUE!</v>
      </c>
    </row>
    <row r="331" spans="1:17" ht="13" x14ac:dyDescent="0.3">
      <c r="A331" s="121" t="s">
        <v>90</v>
      </c>
      <c r="B331" s="120" t="s">
        <v>782</v>
      </c>
      <c r="C331" s="120" t="s">
        <v>783</v>
      </c>
      <c r="D331" s="117"/>
      <c r="E331" s="117"/>
      <c r="F331" s="117" t="e">
        <v>#VALUE!</v>
      </c>
      <c r="G331" s="117" t="e">
        <f>F331-D331</f>
        <v>#VALUE!</v>
      </c>
      <c r="H331" s="117" t="e">
        <f>F331-E331</f>
        <v>#VALUE!</v>
      </c>
      <c r="I331" s="45"/>
      <c r="J331" s="135"/>
      <c r="O331" s="128">
        <v>50652.32</v>
      </c>
      <c r="P331" s="129" t="e">
        <f>F331-O331</f>
        <v>#VALUE!</v>
      </c>
      <c r="Q331" s="130" t="e">
        <f>P331/O331</f>
        <v>#VALUE!</v>
      </c>
    </row>
    <row r="332" spans="1:17" ht="13" x14ac:dyDescent="0.3">
      <c r="C332" s="121" t="s">
        <v>2170</v>
      </c>
      <c r="D332" s="122">
        <f>SUM(D330:D331)</f>
        <v>0</v>
      </c>
      <c r="E332" s="122">
        <f>SUM(E330:E331)</f>
        <v>0</v>
      </c>
      <c r="F332" s="122" t="e">
        <f>SUM(F330:F331)</f>
        <v>#VALUE!</v>
      </c>
      <c r="G332" s="122" t="e">
        <f>SUM(G330:G331)</f>
        <v>#VALUE!</v>
      </c>
      <c r="H332" s="122" t="e">
        <f>SUM(H330:H331)</f>
        <v>#VALUE!</v>
      </c>
      <c r="I332" s="123"/>
      <c r="J332" s="135"/>
      <c r="O332" s="131">
        <v>70892.47</v>
      </c>
      <c r="P332" s="129" t="e">
        <f>F332-O332</f>
        <v>#VALUE!</v>
      </c>
      <c r="Q332" s="130" t="e">
        <f>P332/O332</f>
        <v>#VALUE!</v>
      </c>
    </row>
    <row r="333" spans="1:17" x14ac:dyDescent="0.25">
      <c r="D333" s="117"/>
      <c r="E333" s="117"/>
      <c r="F333" s="117"/>
      <c r="G333" s="117"/>
      <c r="H333" s="117"/>
      <c r="I333" s="45"/>
      <c r="J333" s="135"/>
      <c r="O333" s="128"/>
      <c r="P333" s="119"/>
      <c r="Q333" s="119"/>
    </row>
    <row r="334" spans="1:17" ht="13" x14ac:dyDescent="0.3">
      <c r="C334" s="121" t="s">
        <v>2156</v>
      </c>
      <c r="D334" s="122">
        <f>D322+D328+D332+D298</f>
        <v>36141</v>
      </c>
      <c r="E334" s="122">
        <f>E322+E328+E332+E298</f>
        <v>36583</v>
      </c>
      <c r="F334" s="122" t="e">
        <f>F322+F328+F332+F298</f>
        <v>#VALUE!</v>
      </c>
      <c r="G334" s="122" t="e">
        <f>G322+G328+G332+G298</f>
        <v>#VALUE!</v>
      </c>
      <c r="H334" s="122" t="e">
        <f>H322+H328+H332+H298</f>
        <v>#VALUE!</v>
      </c>
      <c r="I334" s="123"/>
      <c r="J334" s="135" t="e">
        <v>#VALUE!</v>
      </c>
      <c r="O334" s="131">
        <v>88919.09</v>
      </c>
      <c r="P334" s="129" t="e">
        <f>F334-O334</f>
        <v>#VALUE!</v>
      </c>
      <c r="Q334" s="130" t="e">
        <f>P334/O334</f>
        <v>#VALUE!</v>
      </c>
    </row>
    <row r="335" spans="1:17" ht="13" x14ac:dyDescent="0.3">
      <c r="D335" s="117"/>
      <c r="E335" s="122" t="e">
        <f>IF(F335="","","CHECK")</f>
        <v>#VALUE!</v>
      </c>
      <c r="F335" s="122" t="e">
        <v>#VALUE!</v>
      </c>
      <c r="G335" s="117"/>
      <c r="H335" s="117"/>
      <c r="I335" s="45"/>
      <c r="J335" s="135"/>
      <c r="O335" s="128"/>
      <c r="P335" s="119"/>
      <c r="Q335" s="119"/>
    </row>
    <row r="336" spans="1:17" ht="13" x14ac:dyDescent="0.3">
      <c r="A336" s="138" t="s">
        <v>1963</v>
      </c>
      <c r="B336" s="140" t="s">
        <v>53</v>
      </c>
      <c r="C336" s="140" t="s">
        <v>349</v>
      </c>
      <c r="D336" s="117">
        <v>156185</v>
      </c>
      <c r="E336" s="117">
        <v>154597</v>
      </c>
      <c r="F336" s="117" t="e">
        <v>#VALUE!</v>
      </c>
      <c r="G336" s="117" t="e">
        <f>F336-D336</f>
        <v>#VALUE!</v>
      </c>
      <c r="H336" s="117" t="e">
        <f>F336-E336</f>
        <v>#VALUE!</v>
      </c>
      <c r="I336" s="140"/>
      <c r="J336" s="135"/>
      <c r="O336" s="134">
        <v>157193.62</v>
      </c>
      <c r="P336" s="129" t="e">
        <f>F336-O336</f>
        <v>#VALUE!</v>
      </c>
      <c r="Q336" s="130" t="e">
        <f>P336/O336</f>
        <v>#VALUE!</v>
      </c>
    </row>
    <row r="337" spans="1:17" ht="13" x14ac:dyDescent="0.3">
      <c r="A337" s="138" t="s">
        <v>1963</v>
      </c>
      <c r="B337" s="140" t="s">
        <v>53</v>
      </c>
      <c r="C337" s="140" t="s">
        <v>816</v>
      </c>
      <c r="D337" s="117">
        <v>10861</v>
      </c>
      <c r="E337" s="117">
        <v>12255</v>
      </c>
      <c r="F337" s="117" t="e">
        <v>#VALUE!</v>
      </c>
      <c r="G337" s="117" t="e">
        <f>F337-D337</f>
        <v>#VALUE!</v>
      </c>
      <c r="H337" s="117" t="e">
        <f>F337-E337</f>
        <v>#VALUE!</v>
      </c>
      <c r="I337" s="140"/>
      <c r="J337" s="135"/>
      <c r="O337" s="134">
        <v>11693.5</v>
      </c>
      <c r="P337" s="129" t="e">
        <f>F337-O337</f>
        <v>#VALUE!</v>
      </c>
      <c r="Q337" s="130" t="e">
        <f>P337/O337</f>
        <v>#VALUE!</v>
      </c>
    </row>
    <row r="338" spans="1:17" ht="13" x14ac:dyDescent="0.3">
      <c r="A338" s="138" t="s">
        <v>1963</v>
      </c>
      <c r="B338" s="140" t="s">
        <v>53</v>
      </c>
      <c r="C338" s="140" t="s">
        <v>817</v>
      </c>
      <c r="D338" s="117">
        <v>30411</v>
      </c>
      <c r="E338" s="117">
        <v>30100</v>
      </c>
      <c r="F338" s="117" t="e">
        <v>#VALUE!</v>
      </c>
      <c r="G338" s="117" t="e">
        <f>F338-D338</f>
        <v>#VALUE!</v>
      </c>
      <c r="H338" s="117" t="e">
        <f>F338-E338</f>
        <v>#VALUE!</v>
      </c>
      <c r="I338" s="140"/>
      <c r="J338" s="135"/>
      <c r="O338" s="134">
        <v>29128.1</v>
      </c>
      <c r="P338" s="129" t="e">
        <f>F338-O338</f>
        <v>#VALUE!</v>
      </c>
      <c r="Q338" s="130" t="e">
        <f>P338/O338</f>
        <v>#VALUE!</v>
      </c>
    </row>
    <row r="339" spans="1:17" ht="13" x14ac:dyDescent="0.3">
      <c r="A339" s="138" t="s">
        <v>1963</v>
      </c>
      <c r="B339" s="140" t="s">
        <v>53</v>
      </c>
      <c r="C339" s="140" t="s">
        <v>350</v>
      </c>
      <c r="D339" s="117">
        <v>2320</v>
      </c>
      <c r="E339" s="117">
        <f>D339</f>
        <v>2320</v>
      </c>
      <c r="F339" s="117" t="e">
        <v>#VALUE!</v>
      </c>
      <c r="G339" s="117" t="e">
        <f>F339-D339</f>
        <v>#VALUE!</v>
      </c>
      <c r="H339" s="117" t="e">
        <f>F339-E339</f>
        <v>#VALUE!</v>
      </c>
      <c r="I339" s="140"/>
      <c r="J339" s="135"/>
      <c r="O339" s="134">
        <v>1270</v>
      </c>
      <c r="P339" s="129" t="e">
        <f>F339-O339</f>
        <v>#VALUE!</v>
      </c>
      <c r="Q339" s="130" t="e">
        <f>P339/O339</f>
        <v>#VALUE!</v>
      </c>
    </row>
    <row r="340" spans="1:17" ht="13" x14ac:dyDescent="0.3">
      <c r="A340" s="140"/>
      <c r="B340" s="140"/>
      <c r="C340" s="138" t="s">
        <v>2164</v>
      </c>
      <c r="D340" s="122">
        <f>SUM(D336:D339)</f>
        <v>199777</v>
      </c>
      <c r="E340" s="122">
        <f>SUM(E336:E339)</f>
        <v>199272</v>
      </c>
      <c r="F340" s="122" t="e">
        <f>SUM(F336:F339)</f>
        <v>#VALUE!</v>
      </c>
      <c r="G340" s="122" t="e">
        <f>SUM(G336:G339)</f>
        <v>#VALUE!</v>
      </c>
      <c r="H340" s="122" t="e">
        <f>SUM(H336:H339)</f>
        <v>#VALUE!</v>
      </c>
      <c r="I340" s="138"/>
      <c r="J340" s="135"/>
      <c r="O340" s="131">
        <v>199285.22</v>
      </c>
      <c r="P340" s="129" t="e">
        <f>F340-O340</f>
        <v>#VALUE!</v>
      </c>
      <c r="Q340" s="130" t="e">
        <f>P340/O340</f>
        <v>#VALUE!</v>
      </c>
    </row>
    <row r="341" spans="1:17" x14ac:dyDescent="0.25">
      <c r="A341" s="140"/>
      <c r="B341" s="140"/>
      <c r="C341" s="140"/>
      <c r="D341" s="117"/>
      <c r="E341" s="117"/>
      <c r="F341" s="117"/>
      <c r="G341" s="117"/>
      <c r="H341" s="117"/>
      <c r="I341" s="140"/>
      <c r="J341" s="135"/>
      <c r="O341" s="134"/>
      <c r="P341" s="119"/>
      <c r="Q341" s="119"/>
    </row>
    <row r="342" spans="1:17" ht="13" x14ac:dyDescent="0.3">
      <c r="A342" s="138" t="s">
        <v>1963</v>
      </c>
      <c r="B342" s="140" t="s">
        <v>756</v>
      </c>
      <c r="C342" s="140" t="s">
        <v>818</v>
      </c>
      <c r="D342" s="117">
        <v>946</v>
      </c>
      <c r="E342" s="117">
        <f>D342</f>
        <v>946</v>
      </c>
      <c r="F342" s="117" t="e">
        <v>#VALUE!</v>
      </c>
      <c r="G342" s="117" t="e">
        <f>F342-D342</f>
        <v>#VALUE!</v>
      </c>
      <c r="H342" s="117" t="e">
        <f>F342-E342</f>
        <v>#VALUE!</v>
      </c>
      <c r="I342" s="140"/>
      <c r="J342" s="135"/>
      <c r="O342" s="134">
        <v>475.64</v>
      </c>
      <c r="P342" s="129" t="e">
        <f>F342-O342</f>
        <v>#VALUE!</v>
      </c>
      <c r="Q342" s="130" t="e">
        <f>P342/O342</f>
        <v>#VALUE!</v>
      </c>
    </row>
    <row r="343" spans="1:17" ht="13" x14ac:dyDescent="0.3">
      <c r="A343" s="140"/>
      <c r="B343" s="140"/>
      <c r="C343" s="138" t="s">
        <v>2218</v>
      </c>
      <c r="D343" s="122">
        <f>SUM(D342)</f>
        <v>946</v>
      </c>
      <c r="E343" s="122">
        <f>SUM(E342)</f>
        <v>946</v>
      </c>
      <c r="F343" s="122" t="e">
        <f>SUM(F342)</f>
        <v>#VALUE!</v>
      </c>
      <c r="G343" s="122" t="e">
        <f>SUM(G342)</f>
        <v>#VALUE!</v>
      </c>
      <c r="H343" s="122" t="e">
        <f>SUM(H342)</f>
        <v>#VALUE!</v>
      </c>
      <c r="I343" s="138"/>
      <c r="J343" s="135"/>
      <c r="O343" s="131">
        <v>475.64</v>
      </c>
      <c r="P343" s="129" t="e">
        <f>F343-O343</f>
        <v>#VALUE!</v>
      </c>
      <c r="Q343" s="130" t="e">
        <f>P343/O343</f>
        <v>#VALUE!</v>
      </c>
    </row>
    <row r="344" spans="1:17" x14ac:dyDescent="0.25">
      <c r="A344" s="140"/>
      <c r="B344" s="140"/>
      <c r="C344" s="140"/>
      <c r="D344" s="117"/>
      <c r="E344" s="117"/>
      <c r="F344" s="117"/>
      <c r="G344" s="117"/>
      <c r="H344" s="117"/>
      <c r="I344" s="140"/>
      <c r="J344" s="135"/>
      <c r="O344" s="134"/>
      <c r="P344" s="119"/>
      <c r="Q344" s="119"/>
    </row>
    <row r="345" spans="1:17" ht="13" x14ac:dyDescent="0.3">
      <c r="A345" s="138" t="s">
        <v>1963</v>
      </c>
      <c r="B345" s="140" t="s">
        <v>755</v>
      </c>
      <c r="C345" s="140" t="s">
        <v>1633</v>
      </c>
      <c r="D345" s="117">
        <v>2725</v>
      </c>
      <c r="E345" s="117">
        <f t="shared" ref="E345:E351" si="45">D345</f>
        <v>2725</v>
      </c>
      <c r="F345" s="117" t="e">
        <v>#VALUE!</v>
      </c>
      <c r="G345" s="117" t="e">
        <f t="shared" ref="G345:G351" si="46">F345-D345</f>
        <v>#VALUE!</v>
      </c>
      <c r="H345" s="117" t="e">
        <f t="shared" ref="H345:H351" si="47">F345-E345</f>
        <v>#VALUE!</v>
      </c>
      <c r="I345" s="140"/>
      <c r="J345" s="135"/>
      <c r="O345" s="134">
        <v>2990.66</v>
      </c>
      <c r="P345" s="129" t="e">
        <f t="shared" ref="P345:P352" si="48">F345-O345</f>
        <v>#VALUE!</v>
      </c>
      <c r="Q345" s="130" t="e">
        <f t="shared" ref="Q345:Q352" si="49">P345/O345</f>
        <v>#VALUE!</v>
      </c>
    </row>
    <row r="346" spans="1:17" ht="13" x14ac:dyDescent="0.3">
      <c r="A346" s="138" t="s">
        <v>1963</v>
      </c>
      <c r="B346" s="140" t="s">
        <v>755</v>
      </c>
      <c r="C346" s="140" t="s">
        <v>344</v>
      </c>
      <c r="D346" s="117">
        <v>4285</v>
      </c>
      <c r="E346" s="117">
        <f t="shared" si="45"/>
        <v>4285</v>
      </c>
      <c r="F346" s="117" t="e">
        <v>#VALUE!</v>
      </c>
      <c r="G346" s="117" t="e">
        <f t="shared" si="46"/>
        <v>#VALUE!</v>
      </c>
      <c r="H346" s="117" t="e">
        <f t="shared" si="47"/>
        <v>#VALUE!</v>
      </c>
      <c r="I346" s="140"/>
      <c r="J346" s="135"/>
      <c r="O346" s="134">
        <v>2682</v>
      </c>
      <c r="P346" s="129" t="e">
        <f t="shared" si="48"/>
        <v>#VALUE!</v>
      </c>
      <c r="Q346" s="130" t="e">
        <f t="shared" si="49"/>
        <v>#VALUE!</v>
      </c>
    </row>
    <row r="347" spans="1:17" ht="13" x14ac:dyDescent="0.3">
      <c r="A347" s="138" t="s">
        <v>1963</v>
      </c>
      <c r="B347" s="140" t="s">
        <v>755</v>
      </c>
      <c r="C347" s="140" t="s">
        <v>820</v>
      </c>
      <c r="D347" s="117">
        <v>2703</v>
      </c>
      <c r="E347" s="117">
        <f t="shared" si="45"/>
        <v>2703</v>
      </c>
      <c r="F347" s="117" t="e">
        <v>#VALUE!</v>
      </c>
      <c r="G347" s="117" t="e">
        <f t="shared" si="46"/>
        <v>#VALUE!</v>
      </c>
      <c r="H347" s="117" t="e">
        <f t="shared" si="47"/>
        <v>#VALUE!</v>
      </c>
      <c r="I347" s="140"/>
      <c r="J347" s="135"/>
      <c r="O347" s="134">
        <v>858.75</v>
      </c>
      <c r="P347" s="129" t="e">
        <f t="shared" si="48"/>
        <v>#VALUE!</v>
      </c>
      <c r="Q347" s="130" t="e">
        <f t="shared" si="49"/>
        <v>#VALUE!</v>
      </c>
    </row>
    <row r="348" spans="1:17" ht="13" x14ac:dyDescent="0.3">
      <c r="A348" s="138" t="s">
        <v>1963</v>
      </c>
      <c r="B348" s="140" t="s">
        <v>755</v>
      </c>
      <c r="C348" s="140" t="s">
        <v>2246</v>
      </c>
      <c r="D348" s="117"/>
      <c r="E348" s="117">
        <v>-17213</v>
      </c>
      <c r="F348" s="117" t="e">
        <v>#VALUE!</v>
      </c>
      <c r="G348" s="117" t="e">
        <f t="shared" si="46"/>
        <v>#VALUE!</v>
      </c>
      <c r="H348" s="117" t="e">
        <f t="shared" si="47"/>
        <v>#VALUE!</v>
      </c>
      <c r="I348" s="140"/>
      <c r="J348" s="135"/>
      <c r="O348" s="134"/>
      <c r="P348" s="129"/>
      <c r="Q348" s="130"/>
    </row>
    <row r="349" spans="1:17" ht="13" x14ac:dyDescent="0.3">
      <c r="A349" s="138" t="s">
        <v>1963</v>
      </c>
      <c r="B349" s="140" t="s">
        <v>755</v>
      </c>
      <c r="C349" s="140" t="s">
        <v>341</v>
      </c>
      <c r="D349" s="117">
        <v>2475</v>
      </c>
      <c r="E349" s="117">
        <f t="shared" si="45"/>
        <v>2475</v>
      </c>
      <c r="F349" s="117" t="e">
        <v>#VALUE!</v>
      </c>
      <c r="G349" s="117" t="e">
        <f t="shared" si="46"/>
        <v>#VALUE!</v>
      </c>
      <c r="H349" s="117" t="e">
        <f t="shared" si="47"/>
        <v>#VALUE!</v>
      </c>
      <c r="I349" s="140"/>
      <c r="J349" s="135"/>
      <c r="O349" s="134">
        <v>1736.16</v>
      </c>
      <c r="P349" s="129" t="e">
        <f t="shared" si="48"/>
        <v>#VALUE!</v>
      </c>
      <c r="Q349" s="130" t="e">
        <f t="shared" si="49"/>
        <v>#VALUE!</v>
      </c>
    </row>
    <row r="350" spans="1:17" ht="13" x14ac:dyDescent="0.3">
      <c r="A350" s="138" t="s">
        <v>1963</v>
      </c>
      <c r="B350" s="140" t="s">
        <v>755</v>
      </c>
      <c r="C350" s="140" t="s">
        <v>342</v>
      </c>
      <c r="D350" s="117">
        <v>236</v>
      </c>
      <c r="E350" s="117">
        <f t="shared" si="45"/>
        <v>236</v>
      </c>
      <c r="F350" s="117" t="e">
        <v>#VALUE!</v>
      </c>
      <c r="G350" s="117" t="e">
        <f t="shared" si="46"/>
        <v>#VALUE!</v>
      </c>
      <c r="H350" s="117" t="e">
        <f t="shared" si="47"/>
        <v>#VALUE!</v>
      </c>
      <c r="I350" s="140"/>
      <c r="J350" s="135"/>
      <c r="O350" s="134">
        <v>163.62</v>
      </c>
      <c r="P350" s="129" t="e">
        <f t="shared" si="48"/>
        <v>#VALUE!</v>
      </c>
      <c r="Q350" s="130" t="e">
        <f t="shared" si="49"/>
        <v>#VALUE!</v>
      </c>
    </row>
    <row r="351" spans="1:17" ht="13" x14ac:dyDescent="0.3">
      <c r="A351" s="138" t="s">
        <v>1963</v>
      </c>
      <c r="B351" s="140" t="s">
        <v>755</v>
      </c>
      <c r="C351" s="140" t="s">
        <v>351</v>
      </c>
      <c r="D351" s="117">
        <v>2679</v>
      </c>
      <c r="E351" s="117">
        <f t="shared" si="45"/>
        <v>2679</v>
      </c>
      <c r="F351" s="117" t="e">
        <v>#VALUE!</v>
      </c>
      <c r="G351" s="117" t="e">
        <f t="shared" si="46"/>
        <v>#VALUE!</v>
      </c>
      <c r="H351" s="117" t="e">
        <f t="shared" si="47"/>
        <v>#VALUE!</v>
      </c>
      <c r="I351" s="140"/>
      <c r="J351" s="135"/>
      <c r="O351" s="134">
        <v>1343.44</v>
      </c>
      <c r="P351" s="129" t="e">
        <f t="shared" si="48"/>
        <v>#VALUE!</v>
      </c>
      <c r="Q351" s="130" t="e">
        <f t="shared" si="49"/>
        <v>#VALUE!</v>
      </c>
    </row>
    <row r="352" spans="1:17" ht="13" x14ac:dyDescent="0.3">
      <c r="A352" s="140"/>
      <c r="B352" s="140"/>
      <c r="C352" s="138" t="s">
        <v>2165</v>
      </c>
      <c r="D352" s="122">
        <f>SUM(D345:D351)</f>
        <v>15103</v>
      </c>
      <c r="E352" s="122">
        <f>SUM(E345:E351)</f>
        <v>-2110</v>
      </c>
      <c r="F352" s="122" t="e">
        <f>SUM(F345:F351)</f>
        <v>#VALUE!</v>
      </c>
      <c r="G352" s="122" t="e">
        <f>SUM(G345:G351)</f>
        <v>#VALUE!</v>
      </c>
      <c r="H352" s="122" t="e">
        <f>SUM(H345:H351)</f>
        <v>#VALUE!</v>
      </c>
      <c r="I352" s="138"/>
      <c r="J352" s="135"/>
      <c r="O352" s="131">
        <v>20922.66</v>
      </c>
      <c r="P352" s="129" t="e">
        <f t="shared" si="48"/>
        <v>#VALUE!</v>
      </c>
      <c r="Q352" s="130" t="e">
        <f t="shared" si="49"/>
        <v>#VALUE!</v>
      </c>
    </row>
    <row r="353" spans="1:17" x14ac:dyDescent="0.25">
      <c r="A353" s="140"/>
      <c r="B353" s="140"/>
      <c r="C353" s="140"/>
      <c r="D353" s="117"/>
      <c r="E353" s="117"/>
      <c r="F353" s="117"/>
      <c r="G353" s="117"/>
      <c r="H353" s="117"/>
      <c r="I353" s="140"/>
      <c r="J353" s="135"/>
      <c r="O353" s="134"/>
      <c r="P353" s="119"/>
      <c r="Q353" s="119"/>
    </row>
    <row r="354" spans="1:17" ht="13" x14ac:dyDescent="0.3">
      <c r="A354" s="138" t="s">
        <v>1963</v>
      </c>
      <c r="B354" s="140" t="s">
        <v>757</v>
      </c>
      <c r="C354" s="140" t="s">
        <v>1680</v>
      </c>
      <c r="D354" s="117">
        <v>4602</v>
      </c>
      <c r="E354" s="117">
        <f>D354</f>
        <v>4602</v>
      </c>
      <c r="F354" s="117" t="e">
        <v>#VALUE!</v>
      </c>
      <c r="G354" s="117" t="e">
        <f t="shared" ref="G354:G370" si="50">F354-D354</f>
        <v>#VALUE!</v>
      </c>
      <c r="H354" s="117" t="e">
        <f t="shared" ref="H354:H370" si="51">F354-E354</f>
        <v>#VALUE!</v>
      </c>
      <c r="I354" s="140"/>
      <c r="J354" s="135"/>
      <c r="O354" s="134">
        <v>3611.81</v>
      </c>
      <c r="P354" s="129" t="e">
        <f t="shared" ref="P354:P363" si="52">F354-O354</f>
        <v>#VALUE!</v>
      </c>
      <c r="Q354" s="130" t="e">
        <f t="shared" ref="Q354:Q363" si="53">P354/O354</f>
        <v>#VALUE!</v>
      </c>
    </row>
    <row r="355" spans="1:17" ht="13" x14ac:dyDescent="0.3">
      <c r="A355" s="138" t="s">
        <v>1963</v>
      </c>
      <c r="B355" s="140" t="s">
        <v>757</v>
      </c>
      <c r="C355" s="140" t="s">
        <v>821</v>
      </c>
      <c r="D355" s="117">
        <v>26904</v>
      </c>
      <c r="E355" s="117">
        <v>27840</v>
      </c>
      <c r="F355" s="117" t="e">
        <v>#VALUE!</v>
      </c>
      <c r="G355" s="117" t="e">
        <f>F355-D355</f>
        <v>#VALUE!</v>
      </c>
      <c r="H355" s="117" t="e">
        <f t="shared" si="51"/>
        <v>#VALUE!</v>
      </c>
      <c r="I355" s="140"/>
      <c r="J355" s="135"/>
      <c r="O355" s="134">
        <v>11148.03</v>
      </c>
      <c r="P355" s="129" t="e">
        <f>F355-O355</f>
        <v>#VALUE!</v>
      </c>
      <c r="Q355" s="130" t="e">
        <f>P355/O355</f>
        <v>#VALUE!</v>
      </c>
    </row>
    <row r="356" spans="1:17" ht="13" x14ac:dyDescent="0.3">
      <c r="A356" s="138" t="s">
        <v>1963</v>
      </c>
      <c r="B356" s="140" t="s">
        <v>757</v>
      </c>
      <c r="C356" s="140" t="s">
        <v>1683</v>
      </c>
      <c r="D356" s="117">
        <v>3152</v>
      </c>
      <c r="E356" s="117">
        <f t="shared" ref="E356:E370" si="54">D356</f>
        <v>3152</v>
      </c>
      <c r="F356" s="117" t="e">
        <v>#VALUE!</v>
      </c>
      <c r="G356" s="117" t="e">
        <f t="shared" si="50"/>
        <v>#VALUE!</v>
      </c>
      <c r="H356" s="117" t="e">
        <f t="shared" si="51"/>
        <v>#VALUE!</v>
      </c>
      <c r="I356" s="140"/>
      <c r="J356" s="135"/>
      <c r="O356" s="134">
        <v>954</v>
      </c>
      <c r="P356" s="129" t="e">
        <f t="shared" si="52"/>
        <v>#VALUE!</v>
      </c>
      <c r="Q356" s="130" t="e">
        <f t="shared" si="53"/>
        <v>#VALUE!</v>
      </c>
    </row>
    <row r="357" spans="1:17" ht="13" x14ac:dyDescent="0.3">
      <c r="A357" s="138" t="s">
        <v>1963</v>
      </c>
      <c r="B357" s="140" t="s">
        <v>757</v>
      </c>
      <c r="C357" s="140" t="s">
        <v>1685</v>
      </c>
      <c r="D357" s="117">
        <v>714</v>
      </c>
      <c r="E357" s="117">
        <f t="shared" si="54"/>
        <v>714</v>
      </c>
      <c r="F357" s="117" t="e">
        <v>#VALUE!</v>
      </c>
      <c r="G357" s="117" t="e">
        <f t="shared" si="50"/>
        <v>#VALUE!</v>
      </c>
      <c r="H357" s="117" t="e">
        <f t="shared" si="51"/>
        <v>#VALUE!</v>
      </c>
      <c r="I357" s="140"/>
      <c r="J357" s="135"/>
      <c r="O357" s="134">
        <v>11.49</v>
      </c>
      <c r="P357" s="129" t="e">
        <f t="shared" si="52"/>
        <v>#VALUE!</v>
      </c>
      <c r="Q357" s="130" t="e">
        <f t="shared" si="53"/>
        <v>#VALUE!</v>
      </c>
    </row>
    <row r="358" spans="1:17" ht="13" x14ac:dyDescent="0.3">
      <c r="A358" s="138" t="s">
        <v>1963</v>
      </c>
      <c r="B358" s="140" t="s">
        <v>757</v>
      </c>
      <c r="C358" s="140" t="s">
        <v>1518</v>
      </c>
      <c r="D358" s="117">
        <v>7869</v>
      </c>
      <c r="E358" s="117">
        <v>8237</v>
      </c>
      <c r="F358" s="117" t="e">
        <v>#VALUE!</v>
      </c>
      <c r="G358" s="117" t="e">
        <f t="shared" si="50"/>
        <v>#VALUE!</v>
      </c>
      <c r="H358" s="117" t="e">
        <f t="shared" si="51"/>
        <v>#VALUE!</v>
      </c>
      <c r="I358" s="140"/>
      <c r="J358" s="135"/>
      <c r="O358" s="134">
        <v>6854.21</v>
      </c>
      <c r="P358" s="129" t="e">
        <f t="shared" si="52"/>
        <v>#VALUE!</v>
      </c>
      <c r="Q358" s="130" t="e">
        <f t="shared" si="53"/>
        <v>#VALUE!</v>
      </c>
    </row>
    <row r="359" spans="1:17" ht="13" x14ac:dyDescent="0.3">
      <c r="A359" s="138" t="s">
        <v>1963</v>
      </c>
      <c r="B359" s="140" t="s">
        <v>757</v>
      </c>
      <c r="C359" s="140" t="s">
        <v>2247</v>
      </c>
      <c r="D359" s="117"/>
      <c r="E359" s="117">
        <v>8655</v>
      </c>
      <c r="F359" s="117" t="e">
        <v>#VALUE!</v>
      </c>
      <c r="G359" s="117" t="e">
        <f t="shared" si="50"/>
        <v>#VALUE!</v>
      </c>
      <c r="H359" s="117" t="e">
        <f t="shared" si="51"/>
        <v>#VALUE!</v>
      </c>
      <c r="I359" s="140"/>
      <c r="J359" s="135"/>
      <c r="O359" s="134"/>
      <c r="P359" s="129"/>
      <c r="Q359" s="130"/>
    </row>
    <row r="360" spans="1:17" ht="13" x14ac:dyDescent="0.3">
      <c r="A360" s="138" t="s">
        <v>1963</v>
      </c>
      <c r="B360" s="140" t="s">
        <v>757</v>
      </c>
      <c r="C360" s="140" t="s">
        <v>1692</v>
      </c>
      <c r="D360" s="117">
        <v>368</v>
      </c>
      <c r="E360" s="117"/>
      <c r="F360" s="117" t="e">
        <v>#VALUE!</v>
      </c>
      <c r="G360" s="117" t="e">
        <f t="shared" si="50"/>
        <v>#VALUE!</v>
      </c>
      <c r="H360" s="117" t="e">
        <f t="shared" si="51"/>
        <v>#VALUE!</v>
      </c>
      <c r="I360" s="140"/>
      <c r="J360" s="135"/>
      <c r="O360" s="134">
        <v>252.88</v>
      </c>
      <c r="P360" s="129" t="e">
        <f t="shared" si="52"/>
        <v>#VALUE!</v>
      </c>
      <c r="Q360" s="130" t="e">
        <f t="shared" si="53"/>
        <v>#VALUE!</v>
      </c>
    </row>
    <row r="361" spans="1:17" ht="13" x14ac:dyDescent="0.3">
      <c r="A361" s="138" t="s">
        <v>1963</v>
      </c>
      <c r="B361" s="140" t="s">
        <v>757</v>
      </c>
      <c r="C361" s="140" t="s">
        <v>819</v>
      </c>
      <c r="D361" s="117">
        <v>1051</v>
      </c>
      <c r="E361" s="117">
        <f t="shared" si="54"/>
        <v>1051</v>
      </c>
      <c r="F361" s="117" t="e">
        <v>#VALUE!</v>
      </c>
      <c r="G361" s="117" t="e">
        <f t="shared" si="50"/>
        <v>#VALUE!</v>
      </c>
      <c r="H361" s="117" t="e">
        <f t="shared" si="51"/>
        <v>#VALUE!</v>
      </c>
      <c r="I361" s="140"/>
      <c r="J361" s="135"/>
      <c r="O361" s="134">
        <v>2958.03</v>
      </c>
      <c r="P361" s="129" t="e">
        <f t="shared" si="52"/>
        <v>#VALUE!</v>
      </c>
      <c r="Q361" s="130" t="e">
        <f t="shared" si="53"/>
        <v>#VALUE!</v>
      </c>
    </row>
    <row r="362" spans="1:17" ht="13" x14ac:dyDescent="0.3">
      <c r="A362" s="138" t="s">
        <v>1963</v>
      </c>
      <c r="B362" s="140" t="s">
        <v>757</v>
      </c>
      <c r="C362" s="140" t="s">
        <v>352</v>
      </c>
      <c r="D362" s="117">
        <v>2954</v>
      </c>
      <c r="E362" s="117">
        <f t="shared" si="54"/>
        <v>2954</v>
      </c>
      <c r="F362" s="117" t="e">
        <v>#VALUE!</v>
      </c>
      <c r="G362" s="117" t="e">
        <f t="shared" si="50"/>
        <v>#VALUE!</v>
      </c>
      <c r="H362" s="117" t="e">
        <f t="shared" si="51"/>
        <v>#VALUE!</v>
      </c>
      <c r="I362" s="140"/>
      <c r="J362" s="135"/>
      <c r="O362" s="134">
        <v>2657.52</v>
      </c>
      <c r="P362" s="129" t="e">
        <f t="shared" si="52"/>
        <v>#VALUE!</v>
      </c>
      <c r="Q362" s="130" t="e">
        <f t="shared" si="53"/>
        <v>#VALUE!</v>
      </c>
    </row>
    <row r="363" spans="1:17" ht="13" x14ac:dyDescent="0.3">
      <c r="A363" s="138" t="s">
        <v>1963</v>
      </c>
      <c r="B363" s="140" t="s">
        <v>757</v>
      </c>
      <c r="C363" s="140" t="s">
        <v>956</v>
      </c>
      <c r="D363" s="117">
        <v>3075</v>
      </c>
      <c r="E363" s="117">
        <v>3075</v>
      </c>
      <c r="F363" s="117" t="e">
        <v>#VALUE!</v>
      </c>
      <c r="G363" s="117" t="e">
        <f t="shared" si="50"/>
        <v>#VALUE!</v>
      </c>
      <c r="H363" s="117" t="e">
        <f t="shared" si="51"/>
        <v>#VALUE!</v>
      </c>
      <c r="I363" s="140"/>
      <c r="J363" s="135"/>
      <c r="O363" s="134">
        <v>14293.17</v>
      </c>
      <c r="P363" s="129" t="e">
        <f t="shared" si="52"/>
        <v>#VALUE!</v>
      </c>
      <c r="Q363" s="130" t="e">
        <f t="shared" si="53"/>
        <v>#VALUE!</v>
      </c>
    </row>
    <row r="364" spans="1:17" ht="13" x14ac:dyDescent="0.3">
      <c r="A364" s="138" t="s">
        <v>1963</v>
      </c>
      <c r="B364" s="140" t="s">
        <v>757</v>
      </c>
      <c r="C364" s="140" t="s">
        <v>1732</v>
      </c>
      <c r="D364" s="117"/>
      <c r="E364" s="117">
        <f t="shared" si="54"/>
        <v>0</v>
      </c>
      <c r="F364" s="117" t="e">
        <v>#VALUE!</v>
      </c>
      <c r="G364" s="117" t="e">
        <f t="shared" si="50"/>
        <v>#VALUE!</v>
      </c>
      <c r="H364" s="117" t="e">
        <f t="shared" si="51"/>
        <v>#VALUE!</v>
      </c>
      <c r="I364" s="140"/>
      <c r="J364" s="135"/>
      <c r="O364" s="134"/>
      <c r="P364" s="129"/>
      <c r="Q364" s="130"/>
    </row>
    <row r="365" spans="1:17" ht="13" x14ac:dyDescent="0.3">
      <c r="A365" s="138" t="s">
        <v>1963</v>
      </c>
      <c r="B365" s="140" t="s">
        <v>757</v>
      </c>
      <c r="C365" s="140" t="s">
        <v>945</v>
      </c>
      <c r="D365" s="117">
        <v>210</v>
      </c>
      <c r="E365" s="117">
        <f t="shared" si="54"/>
        <v>210</v>
      </c>
      <c r="F365" s="117" t="e">
        <v>#VALUE!</v>
      </c>
      <c r="G365" s="117" t="e">
        <f t="shared" si="50"/>
        <v>#VALUE!</v>
      </c>
      <c r="H365" s="117" t="e">
        <f t="shared" si="51"/>
        <v>#VALUE!</v>
      </c>
      <c r="I365" s="140"/>
      <c r="J365" s="135"/>
      <c r="O365" s="134">
        <v>35.130000000000003</v>
      </c>
      <c r="P365" s="129" t="e">
        <f>F365-O365</f>
        <v>#VALUE!</v>
      </c>
      <c r="Q365" s="130" t="e">
        <f>P365/O365</f>
        <v>#VALUE!</v>
      </c>
    </row>
    <row r="366" spans="1:17" ht="13" x14ac:dyDescent="0.3">
      <c r="A366" s="138" t="s">
        <v>1963</v>
      </c>
      <c r="B366" s="140" t="s">
        <v>757</v>
      </c>
      <c r="C366" s="140" t="s">
        <v>356</v>
      </c>
      <c r="D366" s="117">
        <v>2490</v>
      </c>
      <c r="E366" s="117">
        <f t="shared" si="54"/>
        <v>2490</v>
      </c>
      <c r="F366" s="117" t="e">
        <v>#VALUE!</v>
      </c>
      <c r="G366" s="117" t="e">
        <f t="shared" si="50"/>
        <v>#VALUE!</v>
      </c>
      <c r="H366" s="117" t="e">
        <f t="shared" si="51"/>
        <v>#VALUE!</v>
      </c>
      <c r="I366" s="140"/>
      <c r="J366" s="135"/>
      <c r="O366" s="134">
        <v>2060.63</v>
      </c>
      <c r="P366" s="129" t="e">
        <f>F366-O366</f>
        <v>#VALUE!</v>
      </c>
      <c r="Q366" s="130" t="e">
        <f>P366/O366</f>
        <v>#VALUE!</v>
      </c>
    </row>
    <row r="367" spans="1:17" ht="13" x14ac:dyDescent="0.3">
      <c r="A367" s="138" t="s">
        <v>1963</v>
      </c>
      <c r="B367" s="140" t="s">
        <v>757</v>
      </c>
      <c r="C367" s="140" t="s">
        <v>822</v>
      </c>
      <c r="D367" s="117">
        <v>4318</v>
      </c>
      <c r="E367" s="117">
        <f t="shared" si="54"/>
        <v>4318</v>
      </c>
      <c r="F367" s="117" t="e">
        <v>#VALUE!</v>
      </c>
      <c r="G367" s="117" t="e">
        <f t="shared" si="50"/>
        <v>#VALUE!</v>
      </c>
      <c r="H367" s="117" t="e">
        <f t="shared" si="51"/>
        <v>#VALUE!</v>
      </c>
      <c r="I367" s="140"/>
      <c r="J367" s="135"/>
      <c r="O367" s="134">
        <v>3339.35</v>
      </c>
      <c r="P367" s="129" t="e">
        <f>F367-O367</f>
        <v>#VALUE!</v>
      </c>
      <c r="Q367" s="130" t="e">
        <f>P367/O367</f>
        <v>#VALUE!</v>
      </c>
    </row>
    <row r="368" spans="1:17" ht="13" x14ac:dyDescent="0.3">
      <c r="A368" s="138" t="s">
        <v>1963</v>
      </c>
      <c r="B368" s="140" t="s">
        <v>757</v>
      </c>
      <c r="C368" s="140" t="s">
        <v>990</v>
      </c>
      <c r="D368" s="117">
        <v>0</v>
      </c>
      <c r="E368" s="117">
        <f t="shared" si="54"/>
        <v>0</v>
      </c>
      <c r="F368" s="117" t="e">
        <v>#VALUE!</v>
      </c>
      <c r="G368" s="117" t="e">
        <f t="shared" si="50"/>
        <v>#VALUE!</v>
      </c>
      <c r="H368" s="117" t="e">
        <f t="shared" si="51"/>
        <v>#VALUE!</v>
      </c>
      <c r="I368" s="140"/>
      <c r="J368" s="135"/>
      <c r="O368" s="134"/>
      <c r="P368" s="129"/>
      <c r="Q368" s="130"/>
    </row>
    <row r="369" spans="1:17" ht="13" x14ac:dyDescent="0.3">
      <c r="A369" s="138" t="s">
        <v>1963</v>
      </c>
      <c r="B369" s="140" t="s">
        <v>757</v>
      </c>
      <c r="C369" s="140" t="s">
        <v>2176</v>
      </c>
      <c r="D369" s="117">
        <v>0</v>
      </c>
      <c r="E369" s="117">
        <f t="shared" si="54"/>
        <v>0</v>
      </c>
      <c r="F369" s="117" t="e">
        <v>#VALUE!</v>
      </c>
      <c r="G369" s="117" t="e">
        <f t="shared" si="50"/>
        <v>#VALUE!</v>
      </c>
      <c r="H369" s="117" t="e">
        <f t="shared" si="51"/>
        <v>#VALUE!</v>
      </c>
      <c r="I369" s="140"/>
      <c r="J369" s="135"/>
      <c r="O369" s="134"/>
      <c r="P369" s="129"/>
      <c r="Q369" s="130"/>
    </row>
    <row r="370" spans="1:17" ht="13" x14ac:dyDescent="0.3">
      <c r="A370" s="138" t="s">
        <v>1963</v>
      </c>
      <c r="B370" s="140" t="s">
        <v>757</v>
      </c>
      <c r="C370" s="140" t="s">
        <v>1066</v>
      </c>
      <c r="D370" s="117">
        <v>158</v>
      </c>
      <c r="E370" s="117">
        <f t="shared" si="54"/>
        <v>158</v>
      </c>
      <c r="F370" s="117" t="e">
        <v>#VALUE!</v>
      </c>
      <c r="G370" s="117" t="e">
        <f t="shared" si="50"/>
        <v>#VALUE!</v>
      </c>
      <c r="H370" s="117" t="e">
        <f t="shared" si="51"/>
        <v>#VALUE!</v>
      </c>
      <c r="I370" s="140"/>
      <c r="J370" s="135"/>
      <c r="O370" s="134">
        <v>208.9</v>
      </c>
      <c r="P370" s="129" t="e">
        <f>F370-O370</f>
        <v>#VALUE!</v>
      </c>
      <c r="Q370" s="130" t="e">
        <f>P370/O370</f>
        <v>#VALUE!</v>
      </c>
    </row>
    <row r="371" spans="1:17" ht="13" x14ac:dyDescent="0.3">
      <c r="A371" s="140"/>
      <c r="B371" s="140"/>
      <c r="C371" s="138" t="s">
        <v>2168</v>
      </c>
      <c r="D371" s="122">
        <f>SUM(D354:D370)</f>
        <v>57865</v>
      </c>
      <c r="E371" s="122">
        <f>SUM(E354:E370)</f>
        <v>67456</v>
      </c>
      <c r="F371" s="122" t="e">
        <f>SUM(F354:F370)</f>
        <v>#VALUE!</v>
      </c>
      <c r="G371" s="122" t="e">
        <f>SUM(G354:G370)</f>
        <v>#VALUE!</v>
      </c>
      <c r="H371" s="122" t="e">
        <f>SUM(H354:H370)</f>
        <v>#VALUE!</v>
      </c>
      <c r="I371" s="138"/>
      <c r="J371" s="135"/>
      <c r="O371" s="131">
        <v>37237.120000000003</v>
      </c>
      <c r="P371" s="129" t="e">
        <f>F371-O371</f>
        <v>#VALUE!</v>
      </c>
      <c r="Q371" s="130" t="e">
        <f>P371/O371</f>
        <v>#VALUE!</v>
      </c>
    </row>
    <row r="372" spans="1:17" x14ac:dyDescent="0.25">
      <c r="A372" s="140"/>
      <c r="B372" s="140"/>
      <c r="C372" s="140"/>
      <c r="D372" s="117"/>
      <c r="E372" s="117"/>
      <c r="F372" s="117"/>
      <c r="G372" s="117"/>
      <c r="H372" s="117"/>
      <c r="I372" s="140"/>
      <c r="J372" s="135"/>
      <c r="O372" s="134"/>
      <c r="P372" s="119"/>
      <c r="Q372" s="119"/>
    </row>
    <row r="373" spans="1:17" ht="13" x14ac:dyDescent="0.3">
      <c r="A373" s="138" t="s">
        <v>1963</v>
      </c>
      <c r="B373" s="140" t="s">
        <v>781</v>
      </c>
      <c r="C373" s="140" t="s">
        <v>781</v>
      </c>
      <c r="D373" s="117">
        <v>18446</v>
      </c>
      <c r="E373" s="117">
        <v>18446</v>
      </c>
      <c r="F373" s="117" t="e">
        <v>#VALUE!</v>
      </c>
      <c r="G373" s="117" t="e">
        <f>F373-D373</f>
        <v>#VALUE!</v>
      </c>
      <c r="H373" s="117" t="e">
        <f>F373-E373</f>
        <v>#VALUE!</v>
      </c>
      <c r="I373" s="140"/>
      <c r="J373" s="135"/>
      <c r="O373" s="134">
        <v>23512.82</v>
      </c>
      <c r="P373" s="129" t="e">
        <f>F373-O373</f>
        <v>#VALUE!</v>
      </c>
      <c r="Q373" s="130" t="e">
        <f>P373/O373</f>
        <v>#VALUE!</v>
      </c>
    </row>
    <row r="374" spans="1:17" ht="13" x14ac:dyDescent="0.3">
      <c r="A374" s="140"/>
      <c r="B374" s="140"/>
      <c r="C374" s="138" t="s">
        <v>2169</v>
      </c>
      <c r="D374" s="122">
        <f>SUM(D373)</f>
        <v>18446</v>
      </c>
      <c r="E374" s="122">
        <f>SUM(E373)</f>
        <v>18446</v>
      </c>
      <c r="F374" s="122" t="e">
        <f>SUM(F373)</f>
        <v>#VALUE!</v>
      </c>
      <c r="G374" s="122" t="e">
        <f>SUM(G373)</f>
        <v>#VALUE!</v>
      </c>
      <c r="H374" s="122" t="e">
        <f>SUM(H373)</f>
        <v>#VALUE!</v>
      </c>
      <c r="I374" s="138"/>
      <c r="J374" s="135"/>
      <c r="O374" s="131">
        <v>23512.82</v>
      </c>
      <c r="P374" s="129" t="e">
        <f>F374-O374</f>
        <v>#VALUE!</v>
      </c>
      <c r="Q374" s="130" t="e">
        <f>P374/O374</f>
        <v>#VALUE!</v>
      </c>
    </row>
    <row r="375" spans="1:17" x14ac:dyDescent="0.25">
      <c r="A375" s="140"/>
      <c r="B375" s="140"/>
      <c r="C375" s="140"/>
      <c r="D375" s="117"/>
      <c r="E375" s="117"/>
      <c r="F375" s="117"/>
      <c r="G375" s="117"/>
      <c r="H375" s="117"/>
      <c r="I375" s="140"/>
      <c r="J375" s="135"/>
      <c r="O375" s="134"/>
      <c r="P375" s="119"/>
      <c r="Q375" s="119"/>
    </row>
    <row r="376" spans="1:17" ht="13" x14ac:dyDescent="0.3">
      <c r="A376" s="138" t="s">
        <v>1963</v>
      </c>
      <c r="B376" s="140" t="s">
        <v>2180</v>
      </c>
      <c r="C376" s="140" t="s">
        <v>320</v>
      </c>
      <c r="D376" s="117">
        <v>1000</v>
      </c>
      <c r="E376" s="117">
        <f>D376</f>
        <v>1000</v>
      </c>
      <c r="F376" s="117" t="e">
        <v>#VALUE!</v>
      </c>
      <c r="G376" s="117" t="e">
        <f>F376-D376</f>
        <v>#VALUE!</v>
      </c>
      <c r="H376" s="117" t="e">
        <f>F376-E376</f>
        <v>#VALUE!</v>
      </c>
      <c r="I376" s="140"/>
      <c r="J376" s="135"/>
      <c r="O376" s="134">
        <v>0</v>
      </c>
      <c r="P376" s="129" t="e">
        <f>F376-O376</f>
        <v>#VALUE!</v>
      </c>
      <c r="Q376" s="130" t="e">
        <f>P376/O376</f>
        <v>#VALUE!</v>
      </c>
    </row>
    <row r="377" spans="1:17" ht="13" x14ac:dyDescent="0.3">
      <c r="A377" s="140"/>
      <c r="B377" s="140"/>
      <c r="C377" s="138" t="s">
        <v>2184</v>
      </c>
      <c r="D377" s="122">
        <f>SUM(D376:D376)</f>
        <v>1000</v>
      </c>
      <c r="E377" s="122">
        <f>SUM(E376:E376)</f>
        <v>1000</v>
      </c>
      <c r="F377" s="122" t="e">
        <f>SUM(F376:F376)</f>
        <v>#VALUE!</v>
      </c>
      <c r="G377" s="122" t="e">
        <f>SUM(G376:G376)</f>
        <v>#VALUE!</v>
      </c>
      <c r="H377" s="122" t="e">
        <f>SUM(H376:H376)</f>
        <v>#VALUE!</v>
      </c>
      <c r="I377" s="138"/>
      <c r="J377" s="135"/>
      <c r="O377" s="131">
        <v>0</v>
      </c>
      <c r="P377" s="129" t="e">
        <f>F377-O377</f>
        <v>#VALUE!</v>
      </c>
      <c r="Q377" s="130" t="e">
        <f>P377/O377</f>
        <v>#VALUE!</v>
      </c>
    </row>
    <row r="378" spans="1:17" x14ac:dyDescent="0.25">
      <c r="A378" s="140"/>
      <c r="B378" s="140"/>
      <c r="C378" s="140"/>
      <c r="D378" s="117"/>
      <c r="E378" s="117"/>
      <c r="F378" s="117"/>
      <c r="G378" s="117"/>
      <c r="H378" s="117"/>
      <c r="I378" s="140"/>
      <c r="J378" s="135"/>
      <c r="O378" s="134"/>
      <c r="P378" s="119"/>
      <c r="Q378" s="119"/>
    </row>
    <row r="379" spans="1:17" ht="13" x14ac:dyDescent="0.3">
      <c r="A379" s="138" t="s">
        <v>1963</v>
      </c>
      <c r="B379" s="140" t="s">
        <v>782</v>
      </c>
      <c r="C379" s="140" t="s">
        <v>783</v>
      </c>
      <c r="D379" s="117"/>
      <c r="E379" s="117"/>
      <c r="F379" s="117" t="e">
        <v>#VALUE!</v>
      </c>
      <c r="G379" s="117" t="e">
        <f>F379-D379</f>
        <v>#VALUE!</v>
      </c>
      <c r="H379" s="117" t="e">
        <f>F379-E379</f>
        <v>#VALUE!</v>
      </c>
      <c r="I379" s="140"/>
      <c r="J379" s="135"/>
      <c r="O379" s="128">
        <v>-199760.86</v>
      </c>
      <c r="P379" s="129" t="e">
        <f>F379-O379</f>
        <v>#VALUE!</v>
      </c>
      <c r="Q379" s="130" t="e">
        <f>P379/O379</f>
        <v>#VALUE!</v>
      </c>
    </row>
    <row r="380" spans="1:17" ht="13" x14ac:dyDescent="0.3">
      <c r="A380" s="138" t="s">
        <v>1963</v>
      </c>
      <c r="B380" s="140" t="s">
        <v>782</v>
      </c>
      <c r="C380" s="140" t="s">
        <v>784</v>
      </c>
      <c r="D380" s="117"/>
      <c r="E380" s="117"/>
      <c r="F380" s="117" t="e">
        <v>#VALUE!</v>
      </c>
      <c r="G380" s="117" t="e">
        <f>F380-D380</f>
        <v>#VALUE!</v>
      </c>
      <c r="H380" s="117" t="e">
        <f>F380-E380</f>
        <v>#VALUE!</v>
      </c>
      <c r="I380" s="140"/>
      <c r="J380" s="135"/>
      <c r="O380" s="134">
        <v>-83852.600000000006</v>
      </c>
      <c r="P380" s="129" t="e">
        <f>F380-O380</f>
        <v>#VALUE!</v>
      </c>
      <c r="Q380" s="130" t="e">
        <f>P380/O380</f>
        <v>#VALUE!</v>
      </c>
    </row>
    <row r="381" spans="1:17" ht="13" x14ac:dyDescent="0.3">
      <c r="A381" s="140"/>
      <c r="B381" s="140"/>
      <c r="C381" s="138" t="s">
        <v>2170</v>
      </c>
      <c r="D381" s="122">
        <f>SUM(D379:D380)</f>
        <v>0</v>
      </c>
      <c r="E381" s="122">
        <f>SUM(E379:E380)</f>
        <v>0</v>
      </c>
      <c r="F381" s="122" t="e">
        <f>SUM(F379:F380)</f>
        <v>#VALUE!</v>
      </c>
      <c r="G381" s="122" t="e">
        <f>SUM(G379:G380)</f>
        <v>#VALUE!</v>
      </c>
      <c r="H381" s="122" t="e">
        <f>SUM(H379:H380)</f>
        <v>#VALUE!</v>
      </c>
      <c r="I381" s="138"/>
      <c r="J381" s="135"/>
      <c r="O381" s="131">
        <v>-283613.46000000002</v>
      </c>
      <c r="P381" s="129" t="e">
        <f>F381-O381</f>
        <v>#VALUE!</v>
      </c>
      <c r="Q381" s="130" t="e">
        <f>P381/O381</f>
        <v>#VALUE!</v>
      </c>
    </row>
    <row r="382" spans="1:17" x14ac:dyDescent="0.25">
      <c r="A382" s="140"/>
      <c r="B382" s="140"/>
      <c r="C382" s="140"/>
      <c r="D382" s="117"/>
      <c r="E382" s="117"/>
      <c r="F382" s="117"/>
      <c r="G382" s="117"/>
      <c r="H382" s="117"/>
      <c r="I382" s="140"/>
      <c r="J382" s="135"/>
      <c r="O382" s="134"/>
      <c r="P382" s="119"/>
      <c r="Q382" s="119"/>
    </row>
    <row r="383" spans="1:17" ht="13" x14ac:dyDescent="0.3">
      <c r="A383" s="140"/>
      <c r="B383" s="140"/>
      <c r="C383" s="138" t="s">
        <v>2156</v>
      </c>
      <c r="D383" s="122">
        <f>+D381+D377+D374+D371+D352+D343+D340</f>
        <v>293137</v>
      </c>
      <c r="E383" s="122">
        <f>+E381+E377+E374+E371+E352+E343+E340</f>
        <v>285010</v>
      </c>
      <c r="F383" s="122" t="e">
        <f>+F381+F377+F374+F371+F352+F343+F340</f>
        <v>#VALUE!</v>
      </c>
      <c r="G383" s="122" t="e">
        <f>+G381+G377+G374+G371+G352+G343+G340</f>
        <v>#VALUE!</v>
      </c>
      <c r="H383" s="122" t="e">
        <f>+H381+H377+H374+H371+H352+H343+H340</f>
        <v>#VALUE!</v>
      </c>
      <c r="I383" s="138"/>
      <c r="J383" s="135" t="e">
        <v>#VALUE!</v>
      </c>
      <c r="O383" s="131">
        <v>-2179.9999999999418</v>
      </c>
      <c r="P383" s="129" t="e">
        <f>F383-O383</f>
        <v>#VALUE!</v>
      </c>
      <c r="Q383" s="130" t="e">
        <f>P383/O383</f>
        <v>#VALUE!</v>
      </c>
    </row>
    <row r="384" spans="1:17" ht="13" x14ac:dyDescent="0.3">
      <c r="C384" s="121"/>
      <c r="D384" s="122"/>
      <c r="E384" s="122" t="e">
        <f>IF(F384="","","CHECK")</f>
        <v>#VALUE!</v>
      </c>
      <c r="F384" s="122" t="e">
        <v>#VALUE!</v>
      </c>
      <c r="G384" s="122"/>
      <c r="H384" s="122"/>
      <c r="I384" s="123"/>
      <c r="J384" s="135"/>
      <c r="O384" s="131"/>
      <c r="P384" s="129"/>
      <c r="Q384" s="130"/>
    </row>
    <row r="385" spans="1:17" ht="13" x14ac:dyDescent="0.3">
      <c r="A385" s="121" t="s">
        <v>2219</v>
      </c>
      <c r="B385" s="120" t="s">
        <v>757</v>
      </c>
      <c r="C385" s="120" t="s">
        <v>1750</v>
      </c>
      <c r="D385" s="117">
        <v>1304</v>
      </c>
      <c r="E385" s="117">
        <f>D385</f>
        <v>1304</v>
      </c>
      <c r="F385" s="117" t="e">
        <v>#VALUE!</v>
      </c>
      <c r="G385" s="117" t="e">
        <f t="shared" ref="G385:G390" si="55">F385-D385</f>
        <v>#VALUE!</v>
      </c>
      <c r="H385" s="117" t="e">
        <f t="shared" ref="H385:H390" si="56">F385-E385</f>
        <v>#VALUE!</v>
      </c>
      <c r="I385" s="45"/>
      <c r="J385" s="135"/>
      <c r="O385" s="128">
        <v>3299.84</v>
      </c>
      <c r="P385" s="129" t="e">
        <f>F385-O385</f>
        <v>#VALUE!</v>
      </c>
      <c r="Q385" s="130" t="e">
        <f>P385/O385</f>
        <v>#VALUE!</v>
      </c>
    </row>
    <row r="386" spans="1:17" ht="13" x14ac:dyDescent="0.3">
      <c r="A386" s="121" t="s">
        <v>2219</v>
      </c>
      <c r="B386" s="120" t="s">
        <v>757</v>
      </c>
      <c r="C386" s="120" t="s">
        <v>1753</v>
      </c>
      <c r="D386" s="117">
        <v>464</v>
      </c>
      <c r="E386" s="117">
        <f>D386</f>
        <v>464</v>
      </c>
      <c r="F386" s="117" t="e">
        <v>#VALUE!</v>
      </c>
      <c r="G386" s="117" t="e">
        <f t="shared" si="55"/>
        <v>#VALUE!</v>
      </c>
      <c r="H386" s="117" t="e">
        <f t="shared" si="56"/>
        <v>#VALUE!</v>
      </c>
      <c r="I386" s="45"/>
      <c r="J386" s="135"/>
      <c r="O386" s="128">
        <v>0</v>
      </c>
      <c r="P386" s="129" t="e">
        <f>F386-O386</f>
        <v>#VALUE!</v>
      </c>
      <c r="Q386" s="130" t="e">
        <f>P386/O386</f>
        <v>#VALUE!</v>
      </c>
    </row>
    <row r="387" spans="1:17" ht="13" x14ac:dyDescent="0.3">
      <c r="A387" s="121" t="s">
        <v>2219</v>
      </c>
      <c r="B387" s="120" t="s">
        <v>757</v>
      </c>
      <c r="C387" s="120" t="s">
        <v>2248</v>
      </c>
      <c r="D387" s="117">
        <v>6000</v>
      </c>
      <c r="E387" s="117">
        <f>D387</f>
        <v>6000</v>
      </c>
      <c r="F387" s="117" t="e">
        <v>#VALUE!</v>
      </c>
      <c r="G387" s="117" t="e">
        <f t="shared" si="55"/>
        <v>#VALUE!</v>
      </c>
      <c r="H387" s="117" t="e">
        <f t="shared" si="56"/>
        <v>#VALUE!</v>
      </c>
      <c r="I387" s="45"/>
      <c r="J387" s="135"/>
      <c r="O387" s="128"/>
      <c r="P387" s="129"/>
      <c r="Q387" s="130"/>
    </row>
    <row r="388" spans="1:17" ht="13" x14ac:dyDescent="0.3">
      <c r="A388" s="121" t="s">
        <v>2219</v>
      </c>
      <c r="B388" s="120" t="s">
        <v>757</v>
      </c>
      <c r="C388" s="120" t="s">
        <v>2220</v>
      </c>
      <c r="D388" s="117">
        <v>0</v>
      </c>
      <c r="E388" s="117">
        <v>0</v>
      </c>
      <c r="F388" s="117" t="e">
        <v>#VALUE!</v>
      </c>
      <c r="G388" s="117" t="e">
        <f t="shared" si="55"/>
        <v>#VALUE!</v>
      </c>
      <c r="H388" s="117" t="e">
        <f t="shared" si="56"/>
        <v>#VALUE!</v>
      </c>
      <c r="I388" s="45"/>
      <c r="J388" s="135"/>
      <c r="O388" s="128"/>
      <c r="P388" s="129"/>
      <c r="Q388" s="130"/>
    </row>
    <row r="389" spans="1:17" ht="13" x14ac:dyDescent="0.3">
      <c r="A389" s="121" t="s">
        <v>2219</v>
      </c>
      <c r="B389" s="120" t="s">
        <v>757</v>
      </c>
      <c r="C389" s="120" t="s">
        <v>983</v>
      </c>
      <c r="D389" s="117">
        <v>0</v>
      </c>
      <c r="E389" s="117">
        <v>0</v>
      </c>
      <c r="F389" s="117" t="e">
        <v>#VALUE!</v>
      </c>
      <c r="G389" s="117" t="e">
        <f t="shared" si="55"/>
        <v>#VALUE!</v>
      </c>
      <c r="H389" s="117" t="e">
        <f t="shared" si="56"/>
        <v>#VALUE!</v>
      </c>
      <c r="I389" s="45"/>
      <c r="J389" s="135"/>
      <c r="O389" s="128"/>
      <c r="P389" s="129"/>
      <c r="Q389" s="130"/>
    </row>
    <row r="390" spans="1:17" ht="13" x14ac:dyDescent="0.3">
      <c r="A390" s="121" t="s">
        <v>2219</v>
      </c>
      <c r="B390" s="120" t="s">
        <v>355</v>
      </c>
      <c r="C390" s="120" t="s">
        <v>1747</v>
      </c>
      <c r="D390" s="117">
        <v>0</v>
      </c>
      <c r="E390" s="117">
        <v>0</v>
      </c>
      <c r="F390" s="117" t="e">
        <v>#VALUE!</v>
      </c>
      <c r="G390" s="117" t="e">
        <f t="shared" si="55"/>
        <v>#VALUE!</v>
      </c>
      <c r="H390" s="117" t="e">
        <f t="shared" si="56"/>
        <v>#VALUE!</v>
      </c>
      <c r="I390" s="45"/>
      <c r="J390" s="135"/>
      <c r="O390" s="128"/>
      <c r="P390" s="129"/>
      <c r="Q390" s="130"/>
    </row>
    <row r="391" spans="1:17" ht="13" x14ac:dyDescent="0.3">
      <c r="C391" s="121" t="s">
        <v>2221</v>
      </c>
      <c r="D391" s="122">
        <f>SUM(D385:D390)</f>
        <v>7768</v>
      </c>
      <c r="E391" s="122">
        <f>SUM(E385:E390)</f>
        <v>7768</v>
      </c>
      <c r="F391" s="122" t="e">
        <f>SUM(F385:F390)</f>
        <v>#VALUE!</v>
      </c>
      <c r="G391" s="122" t="e">
        <f>SUM(G385:G390)</f>
        <v>#VALUE!</v>
      </c>
      <c r="H391" s="122" t="e">
        <f>SUM(H385:H390)</f>
        <v>#VALUE!</v>
      </c>
      <c r="I391" s="123"/>
      <c r="J391" s="135"/>
      <c r="O391" s="131">
        <v>3299.84</v>
      </c>
      <c r="P391" s="129" t="e">
        <f>F391-O391</f>
        <v>#VALUE!</v>
      </c>
      <c r="Q391" s="130" t="e">
        <f>P391/O391</f>
        <v>#VALUE!</v>
      </c>
    </row>
    <row r="392" spans="1:17" x14ac:dyDescent="0.25">
      <c r="D392" s="117"/>
      <c r="E392" s="117"/>
      <c r="F392" s="117"/>
      <c r="G392" s="117"/>
      <c r="H392" s="117"/>
      <c r="I392" s="45"/>
      <c r="J392" s="135"/>
      <c r="O392" s="128"/>
      <c r="P392" s="119"/>
      <c r="Q392" s="119"/>
    </row>
    <row r="393" spans="1:17" ht="13" x14ac:dyDescent="0.3">
      <c r="A393" s="121" t="s">
        <v>2219</v>
      </c>
      <c r="B393" s="120" t="s">
        <v>782</v>
      </c>
      <c r="C393" s="120" t="s">
        <v>783</v>
      </c>
      <c r="D393" s="117"/>
      <c r="E393" s="117"/>
      <c r="F393" s="117" t="e">
        <v>#VALUE!</v>
      </c>
      <c r="G393" s="117" t="e">
        <f>F393-D393</f>
        <v>#VALUE!</v>
      </c>
      <c r="H393" s="117" t="e">
        <f>F393-E393</f>
        <v>#VALUE!</v>
      </c>
      <c r="I393" s="45"/>
      <c r="J393" s="135"/>
      <c r="O393" s="128">
        <v>1609.56</v>
      </c>
      <c r="P393" s="129" t="e">
        <f>F393-O393</f>
        <v>#VALUE!</v>
      </c>
      <c r="Q393" s="130" t="e">
        <f>P393/O393</f>
        <v>#VALUE!</v>
      </c>
    </row>
    <row r="394" spans="1:17" ht="13" x14ac:dyDescent="0.3">
      <c r="A394" s="121" t="s">
        <v>2219</v>
      </c>
      <c r="B394" s="120" t="s">
        <v>782</v>
      </c>
      <c r="C394" s="120" t="s">
        <v>784</v>
      </c>
      <c r="D394" s="117"/>
      <c r="E394" s="117"/>
      <c r="F394" s="117" t="e">
        <v>#VALUE!</v>
      </c>
      <c r="G394" s="117" t="e">
        <f>F394-D394</f>
        <v>#VALUE!</v>
      </c>
      <c r="H394" s="117" t="e">
        <f>F394-E394</f>
        <v>#VALUE!</v>
      </c>
      <c r="I394" s="45"/>
      <c r="J394" s="135"/>
      <c r="O394" s="128">
        <v>316.32</v>
      </c>
      <c r="P394" s="129" t="e">
        <f>F394-O394</f>
        <v>#VALUE!</v>
      </c>
      <c r="Q394" s="130" t="e">
        <f>P394/O394</f>
        <v>#VALUE!</v>
      </c>
    </row>
    <row r="395" spans="1:17" ht="13" x14ac:dyDescent="0.3">
      <c r="C395" s="121" t="s">
        <v>2170</v>
      </c>
      <c r="D395" s="122">
        <f>SUM(D393:D394)</f>
        <v>0</v>
      </c>
      <c r="E395" s="122">
        <f>SUM(E393:E394)</f>
        <v>0</v>
      </c>
      <c r="F395" s="122" t="e">
        <f>SUM(F393:F394)</f>
        <v>#VALUE!</v>
      </c>
      <c r="G395" s="122" t="e">
        <f>SUM(G393:G394)</f>
        <v>#VALUE!</v>
      </c>
      <c r="H395" s="122" t="e">
        <f>SUM(H393:H394)</f>
        <v>#VALUE!</v>
      </c>
      <c r="I395" s="123"/>
      <c r="J395" s="135"/>
      <c r="O395" s="131">
        <v>1925.88</v>
      </c>
      <c r="P395" s="129" t="e">
        <f>F395-O395</f>
        <v>#VALUE!</v>
      </c>
      <c r="Q395" s="130" t="e">
        <f>P395/O395</f>
        <v>#VALUE!</v>
      </c>
    </row>
    <row r="396" spans="1:17" x14ac:dyDescent="0.25">
      <c r="D396" s="117"/>
      <c r="E396" s="117"/>
      <c r="F396" s="117"/>
      <c r="G396" s="117"/>
      <c r="H396" s="117"/>
      <c r="I396" s="45"/>
      <c r="J396" s="135"/>
      <c r="O396" s="128"/>
      <c r="P396" s="119"/>
      <c r="Q396" s="119"/>
    </row>
    <row r="397" spans="1:17" ht="13" x14ac:dyDescent="0.3">
      <c r="C397" s="121" t="s">
        <v>2156</v>
      </c>
      <c r="D397" s="122">
        <f>D395+D391</f>
        <v>7768</v>
      </c>
      <c r="E397" s="122">
        <f>E395+E391</f>
        <v>7768</v>
      </c>
      <c r="F397" s="122" t="e">
        <f>F395+F391</f>
        <v>#VALUE!</v>
      </c>
      <c r="G397" s="122" t="e">
        <f>G395+G391</f>
        <v>#VALUE!</v>
      </c>
      <c r="H397" s="122" t="e">
        <f>H395+H391</f>
        <v>#VALUE!</v>
      </c>
      <c r="I397" s="123"/>
      <c r="J397" s="135" t="e">
        <v>#VALUE!</v>
      </c>
      <c r="O397" s="131">
        <v>5225.72</v>
      </c>
      <c r="P397" s="129" t="e">
        <f>F397-O397</f>
        <v>#VALUE!</v>
      </c>
      <c r="Q397" s="130" t="e">
        <f>P397/O397</f>
        <v>#VALUE!</v>
      </c>
    </row>
    <row r="398" spans="1:17" ht="13" x14ac:dyDescent="0.3">
      <c r="A398" s="121"/>
      <c r="B398" s="121"/>
      <c r="D398" s="117"/>
      <c r="E398" s="122" t="e">
        <f>IF(F398="","","CHECK")</f>
        <v>#VALUE!</v>
      </c>
      <c r="F398" s="122" t="e">
        <v>#VALUE!</v>
      </c>
      <c r="G398" s="117"/>
      <c r="H398" s="117"/>
      <c r="I398" s="45"/>
      <c r="J398" s="135"/>
      <c r="O398" s="128"/>
      <c r="P398" s="119"/>
      <c r="Q398" s="119"/>
    </row>
    <row r="399" spans="1:17" ht="13" x14ac:dyDescent="0.3">
      <c r="A399" s="121" t="s">
        <v>2222</v>
      </c>
      <c r="B399" s="120" t="s">
        <v>757</v>
      </c>
      <c r="C399" s="120" t="s">
        <v>1762</v>
      </c>
      <c r="D399" s="117">
        <v>3338</v>
      </c>
      <c r="E399" s="117">
        <v>3338</v>
      </c>
      <c r="F399" s="117" t="e">
        <v>#VALUE!</v>
      </c>
      <c r="G399" s="117" t="e">
        <f t="shared" ref="G399:G404" si="57">F399-D399</f>
        <v>#VALUE!</v>
      </c>
      <c r="H399" s="117" t="e">
        <f t="shared" ref="H399:H404" si="58">F399-E399</f>
        <v>#VALUE!</v>
      </c>
      <c r="I399" s="45"/>
      <c r="J399" s="135"/>
      <c r="O399" s="128">
        <v>652.04</v>
      </c>
      <c r="P399" s="129" t="e">
        <f>F399-O399</f>
        <v>#VALUE!</v>
      </c>
      <c r="Q399" s="130" t="e">
        <f>P399/O399</f>
        <v>#VALUE!</v>
      </c>
    </row>
    <row r="400" spans="1:17" ht="13" x14ac:dyDescent="0.3">
      <c r="A400" s="121" t="s">
        <v>2222</v>
      </c>
      <c r="B400" s="120" t="s">
        <v>757</v>
      </c>
      <c r="C400" s="120" t="s">
        <v>1771</v>
      </c>
      <c r="D400" s="117">
        <v>124</v>
      </c>
      <c r="E400" s="117">
        <v>124</v>
      </c>
      <c r="F400" s="117" t="e">
        <v>#VALUE!</v>
      </c>
      <c r="G400" s="117" t="e">
        <f t="shared" si="57"/>
        <v>#VALUE!</v>
      </c>
      <c r="H400" s="117" t="e">
        <f t="shared" si="58"/>
        <v>#VALUE!</v>
      </c>
      <c r="I400" s="45"/>
      <c r="J400" s="135"/>
      <c r="O400" s="128">
        <v>0</v>
      </c>
      <c r="P400" s="129" t="e">
        <f>F400-O400</f>
        <v>#VALUE!</v>
      </c>
      <c r="Q400" s="130" t="e">
        <f>P400/O400</f>
        <v>#VALUE!</v>
      </c>
    </row>
    <row r="401" spans="1:17" ht="13" x14ac:dyDescent="0.3">
      <c r="A401" s="121" t="s">
        <v>2222</v>
      </c>
      <c r="B401" s="120" t="s">
        <v>757</v>
      </c>
      <c r="C401" s="120" t="s">
        <v>2249</v>
      </c>
      <c r="D401" s="117"/>
      <c r="E401" s="117">
        <v>750</v>
      </c>
      <c r="F401" s="117" t="e">
        <v>#VALUE!</v>
      </c>
      <c r="G401" s="117" t="e">
        <f t="shared" si="57"/>
        <v>#VALUE!</v>
      </c>
      <c r="H401" s="117" t="e">
        <f t="shared" si="58"/>
        <v>#VALUE!</v>
      </c>
      <c r="I401" s="45"/>
      <c r="J401" s="135"/>
      <c r="O401" s="128"/>
      <c r="P401" s="129"/>
      <c r="Q401" s="130"/>
    </row>
    <row r="402" spans="1:17" ht="13" x14ac:dyDescent="0.3">
      <c r="A402" s="121" t="s">
        <v>2222</v>
      </c>
      <c r="B402" s="120" t="s">
        <v>757</v>
      </c>
      <c r="C402" s="120" t="s">
        <v>1767</v>
      </c>
      <c r="D402" s="117">
        <v>3700</v>
      </c>
      <c r="E402" s="117">
        <f>D402</f>
        <v>3700</v>
      </c>
      <c r="F402" s="117" t="e">
        <v>#VALUE!</v>
      </c>
      <c r="G402" s="117" t="e">
        <f t="shared" si="57"/>
        <v>#VALUE!</v>
      </c>
      <c r="H402" s="117" t="e">
        <f t="shared" si="58"/>
        <v>#VALUE!</v>
      </c>
      <c r="I402" s="45"/>
      <c r="J402" s="135"/>
      <c r="O402" s="128">
        <v>1065</v>
      </c>
      <c r="P402" s="129" t="e">
        <f>F402-O402</f>
        <v>#VALUE!</v>
      </c>
      <c r="Q402" s="130" t="e">
        <f>P402/O402</f>
        <v>#VALUE!</v>
      </c>
    </row>
    <row r="403" spans="1:17" ht="13" x14ac:dyDescent="0.3">
      <c r="A403" s="121" t="s">
        <v>2222</v>
      </c>
      <c r="B403" s="120" t="s">
        <v>757</v>
      </c>
      <c r="C403" s="120" t="s">
        <v>1773</v>
      </c>
      <c r="D403" s="117">
        <v>3000</v>
      </c>
      <c r="E403" s="117">
        <f>D403</f>
        <v>3000</v>
      </c>
      <c r="F403" s="117" t="e">
        <v>#VALUE!</v>
      </c>
      <c r="G403" s="117" t="e">
        <f t="shared" si="57"/>
        <v>#VALUE!</v>
      </c>
      <c r="H403" s="117" t="e">
        <f t="shared" si="58"/>
        <v>#VALUE!</v>
      </c>
      <c r="I403" s="45"/>
      <c r="J403" s="135"/>
      <c r="O403" s="128">
        <v>3000</v>
      </c>
      <c r="P403" s="129" t="e">
        <f>F403-O403</f>
        <v>#VALUE!</v>
      </c>
      <c r="Q403" s="130" t="e">
        <f>P403/O403</f>
        <v>#VALUE!</v>
      </c>
    </row>
    <row r="404" spans="1:17" ht="13" x14ac:dyDescent="0.3">
      <c r="A404" s="121" t="s">
        <v>2222</v>
      </c>
      <c r="B404" s="120" t="s">
        <v>757</v>
      </c>
      <c r="C404" s="120" t="s">
        <v>999</v>
      </c>
      <c r="D404" s="117">
        <v>0</v>
      </c>
      <c r="E404" s="117">
        <v>0</v>
      </c>
      <c r="F404" s="117" t="e">
        <v>#VALUE!</v>
      </c>
      <c r="G404" s="117" t="e">
        <f t="shared" si="57"/>
        <v>#VALUE!</v>
      </c>
      <c r="H404" s="117" t="e">
        <f t="shared" si="58"/>
        <v>#VALUE!</v>
      </c>
      <c r="I404" s="45"/>
      <c r="J404" s="135"/>
      <c r="O404" s="128"/>
      <c r="P404" s="129"/>
      <c r="Q404" s="130"/>
    </row>
    <row r="405" spans="1:17" ht="13" x14ac:dyDescent="0.3">
      <c r="C405" s="121" t="s">
        <v>2221</v>
      </c>
      <c r="D405" s="122">
        <f>SUM(D399:D404)</f>
        <v>10162</v>
      </c>
      <c r="E405" s="122">
        <f>SUM(E399:E404)</f>
        <v>10912</v>
      </c>
      <c r="F405" s="122" t="e">
        <f>SUM(F399:F404)</f>
        <v>#VALUE!</v>
      </c>
      <c r="G405" s="122" t="e">
        <f>SUM(G399:G404)</f>
        <v>#VALUE!</v>
      </c>
      <c r="H405" s="122" t="e">
        <f>SUM(H399:H404)</f>
        <v>#VALUE!</v>
      </c>
      <c r="I405" s="123"/>
      <c r="J405" s="135"/>
      <c r="O405" s="131">
        <v>4717.04</v>
      </c>
      <c r="P405" s="129" t="e">
        <f>F405-O405</f>
        <v>#VALUE!</v>
      </c>
      <c r="Q405" s="130" t="e">
        <f>P405/O405</f>
        <v>#VALUE!</v>
      </c>
    </row>
    <row r="406" spans="1:17" x14ac:dyDescent="0.25">
      <c r="D406" s="117"/>
      <c r="E406" s="117"/>
      <c r="F406" s="117"/>
      <c r="G406" s="117"/>
      <c r="H406" s="117"/>
      <c r="I406" s="45"/>
      <c r="J406" s="135"/>
      <c r="O406" s="128"/>
      <c r="P406" s="119"/>
      <c r="Q406" s="119"/>
    </row>
    <row r="407" spans="1:17" ht="13" x14ac:dyDescent="0.3">
      <c r="A407" s="121" t="s">
        <v>2222</v>
      </c>
      <c r="B407" s="120" t="s">
        <v>782</v>
      </c>
      <c r="C407" s="120" t="s">
        <v>783</v>
      </c>
      <c r="D407" s="117"/>
      <c r="E407" s="117"/>
      <c r="F407" s="117" t="e">
        <v>#VALUE!</v>
      </c>
      <c r="G407" s="117" t="e">
        <f>F407-D407</f>
        <v>#VALUE!</v>
      </c>
      <c r="H407" s="117" t="e">
        <f>F407-E407</f>
        <v>#VALUE!</v>
      </c>
      <c r="I407" s="45"/>
      <c r="J407" s="135"/>
      <c r="O407" s="128">
        <v>8301.42</v>
      </c>
      <c r="P407" s="129" t="e">
        <f>F407-O407</f>
        <v>#VALUE!</v>
      </c>
      <c r="Q407" s="130" t="e">
        <f>P407/O407</f>
        <v>#VALUE!</v>
      </c>
    </row>
    <row r="408" spans="1:17" ht="13" x14ac:dyDescent="0.3">
      <c r="A408" s="121" t="s">
        <v>2222</v>
      </c>
      <c r="B408" s="120" t="s">
        <v>782</v>
      </c>
      <c r="C408" s="120" t="s">
        <v>784</v>
      </c>
      <c r="D408" s="117"/>
      <c r="E408" s="117"/>
      <c r="F408" s="117" t="e">
        <v>#VALUE!</v>
      </c>
      <c r="G408" s="117" t="e">
        <f>F408-D408</f>
        <v>#VALUE!</v>
      </c>
      <c r="H408" s="117" t="e">
        <f>F408-E408</f>
        <v>#VALUE!</v>
      </c>
      <c r="I408" s="45"/>
      <c r="J408" s="135"/>
      <c r="O408" s="128">
        <v>3375.17</v>
      </c>
      <c r="P408" s="129" t="e">
        <f>F408-O408</f>
        <v>#VALUE!</v>
      </c>
      <c r="Q408" s="130" t="e">
        <f>P408/O408</f>
        <v>#VALUE!</v>
      </c>
    </row>
    <row r="409" spans="1:17" ht="13" x14ac:dyDescent="0.3">
      <c r="C409" s="121" t="s">
        <v>2170</v>
      </c>
      <c r="D409" s="122">
        <f>SUM(D407:D408)</f>
        <v>0</v>
      </c>
      <c r="E409" s="122">
        <f>SUM(E407:E408)</f>
        <v>0</v>
      </c>
      <c r="F409" s="122" t="e">
        <f>SUM(F407:F408)</f>
        <v>#VALUE!</v>
      </c>
      <c r="G409" s="122" t="e">
        <f>SUM(G407:G408)</f>
        <v>#VALUE!</v>
      </c>
      <c r="H409" s="122" t="e">
        <f>SUM(H407:H408)</f>
        <v>#VALUE!</v>
      </c>
      <c r="I409" s="123"/>
      <c r="J409" s="135"/>
      <c r="O409" s="131">
        <v>11676.59</v>
      </c>
      <c r="P409" s="129" t="e">
        <f>F409-O409</f>
        <v>#VALUE!</v>
      </c>
      <c r="Q409" s="130" t="e">
        <f>P409/O409</f>
        <v>#VALUE!</v>
      </c>
    </row>
    <row r="410" spans="1:17" x14ac:dyDescent="0.25">
      <c r="D410" s="117"/>
      <c r="E410" s="117"/>
      <c r="F410" s="117"/>
      <c r="G410" s="117"/>
      <c r="H410" s="117"/>
      <c r="I410" s="45"/>
      <c r="J410" s="135"/>
      <c r="O410" s="128"/>
      <c r="P410" s="119"/>
      <c r="Q410" s="119"/>
    </row>
    <row r="411" spans="1:17" ht="13" x14ac:dyDescent="0.3">
      <c r="A411" s="121" t="s">
        <v>2222</v>
      </c>
      <c r="B411" s="120" t="s">
        <v>788</v>
      </c>
      <c r="C411" s="120" t="s">
        <v>1760</v>
      </c>
      <c r="D411" s="117"/>
      <c r="E411" s="117"/>
      <c r="F411" s="117" t="e">
        <v>#VALUE!</v>
      </c>
      <c r="G411" s="117" t="e">
        <f>F411-D411</f>
        <v>#VALUE!</v>
      </c>
      <c r="H411" s="117" t="e">
        <f>F411-E411</f>
        <v>#VALUE!</v>
      </c>
      <c r="I411" s="45"/>
      <c r="J411" s="135"/>
      <c r="O411" s="128"/>
      <c r="P411" s="119"/>
      <c r="Q411" s="119"/>
    </row>
    <row r="412" spans="1:17" ht="13" x14ac:dyDescent="0.3">
      <c r="C412" s="121" t="s">
        <v>2187</v>
      </c>
      <c r="D412" s="122">
        <f>SUM(D411:D411)</f>
        <v>0</v>
      </c>
      <c r="E412" s="122">
        <f>SUM(E411:E411)</f>
        <v>0</v>
      </c>
      <c r="F412" s="122" t="e">
        <f>SUM(F411:F411)</f>
        <v>#VALUE!</v>
      </c>
      <c r="G412" s="122" t="e">
        <f>SUM(G411:G411)</f>
        <v>#VALUE!</v>
      </c>
      <c r="H412" s="122" t="e">
        <f>SUM(H411:H411)</f>
        <v>#VALUE!</v>
      </c>
      <c r="I412" s="123"/>
      <c r="J412" s="135"/>
      <c r="O412" s="128"/>
      <c r="P412" s="119"/>
      <c r="Q412" s="119"/>
    </row>
    <row r="413" spans="1:17" x14ac:dyDescent="0.25">
      <c r="D413" s="117"/>
      <c r="E413" s="117"/>
      <c r="F413" s="117"/>
      <c r="G413" s="117"/>
      <c r="H413" s="117"/>
      <c r="I413" s="45"/>
      <c r="J413" s="135"/>
      <c r="O413" s="128"/>
      <c r="P413" s="119"/>
      <c r="Q413" s="119"/>
    </row>
    <row r="414" spans="1:17" ht="13" x14ac:dyDescent="0.3">
      <c r="C414" s="121" t="s">
        <v>2156</v>
      </c>
      <c r="D414" s="122">
        <f>D409+D405+D412</f>
        <v>10162</v>
      </c>
      <c r="E414" s="122">
        <f>E409+E405+E412</f>
        <v>10912</v>
      </c>
      <c r="F414" s="122" t="e">
        <f>F409+F405+F412</f>
        <v>#VALUE!</v>
      </c>
      <c r="G414" s="122" t="e">
        <f>G409+G405+G412</f>
        <v>#VALUE!</v>
      </c>
      <c r="H414" s="122" t="e">
        <f>H409+H405+H412</f>
        <v>#VALUE!</v>
      </c>
      <c r="I414" s="123"/>
      <c r="J414" s="135" t="e">
        <v>#VALUE!</v>
      </c>
      <c r="O414" s="131">
        <v>16393.63</v>
      </c>
      <c r="P414" s="129" t="e">
        <f>F414-O414</f>
        <v>#VALUE!</v>
      </c>
      <c r="Q414" s="130" t="e">
        <f>P414/O414</f>
        <v>#VALUE!</v>
      </c>
    </row>
    <row r="415" spans="1:17" ht="13" x14ac:dyDescent="0.3">
      <c r="C415" s="121"/>
      <c r="D415" s="122"/>
      <c r="E415" s="122" t="e">
        <f>IF(F415="","","CHECK")</f>
        <v>#VALUE!</v>
      </c>
      <c r="F415" s="122" t="e">
        <v>#VALUE!</v>
      </c>
      <c r="G415" s="122"/>
      <c r="H415" s="122"/>
      <c r="I415" s="123"/>
      <c r="J415" s="135"/>
      <c r="O415" s="131"/>
      <c r="P415" s="119"/>
      <c r="Q415" s="119"/>
    </row>
    <row r="416" spans="1:17" ht="13" x14ac:dyDescent="0.3">
      <c r="A416" s="121"/>
      <c r="B416" s="121"/>
      <c r="C416" s="121"/>
      <c r="D416" s="122"/>
      <c r="E416" s="122"/>
      <c r="F416" s="122"/>
      <c r="G416" s="122"/>
      <c r="H416" s="122"/>
      <c r="I416" s="123"/>
      <c r="J416" s="135"/>
      <c r="O416" s="131"/>
      <c r="P416" s="119"/>
      <c r="Q416" s="119"/>
    </row>
    <row r="417" spans="1:17" ht="13" x14ac:dyDescent="0.3">
      <c r="A417" s="121"/>
      <c r="B417" s="121"/>
      <c r="D417" s="117"/>
      <c r="E417" s="117"/>
      <c r="F417" s="117"/>
      <c r="G417" s="117"/>
      <c r="H417" s="117"/>
      <c r="I417" s="45"/>
      <c r="J417" s="135"/>
      <c r="O417" s="128"/>
      <c r="P417" s="119"/>
      <c r="Q417" s="119"/>
    </row>
    <row r="418" spans="1:17" x14ac:dyDescent="0.25">
      <c r="C418" s="120" t="s">
        <v>2156</v>
      </c>
      <c r="D418" s="117">
        <f>SUMIF($C$10:$C$416,$C418,$D$10:$D$416)</f>
        <v>1218230</v>
      </c>
      <c r="E418" s="117">
        <f>SUMIF($C$10:$C$416,$C418,$E$10:$E$416)</f>
        <v>1166226</v>
      </c>
      <c r="F418" s="117" t="e">
        <f>SUMIF($C$10:$C$416,$C418,$F$10:$F$416)</f>
        <v>#VALUE!</v>
      </c>
      <c r="G418" s="117" t="e">
        <f>F418-D418</f>
        <v>#VALUE!</v>
      </c>
      <c r="H418" s="117" t="e">
        <f>F418-E418</f>
        <v>#VALUE!</v>
      </c>
      <c r="I418" s="45"/>
      <c r="J418" s="135"/>
      <c r="O418" s="128">
        <v>704508.41</v>
      </c>
      <c r="P418" s="129" t="e">
        <f>F418-O418</f>
        <v>#VALUE!</v>
      </c>
      <c r="Q418" s="130" t="e">
        <f>P418/O418</f>
        <v>#VALUE!</v>
      </c>
    </row>
    <row r="419" spans="1:17" x14ac:dyDescent="0.25">
      <c r="C419" s="120" t="s">
        <v>50</v>
      </c>
      <c r="D419" s="117">
        <v>-1017488</v>
      </c>
      <c r="E419" s="117">
        <f>D419</f>
        <v>-1017488</v>
      </c>
      <c r="F419" s="117" t="e">
        <v>#VALUE!</v>
      </c>
      <c r="G419" s="117" t="e">
        <f>F419-D419</f>
        <v>#VALUE!</v>
      </c>
      <c r="H419" s="117" t="e">
        <f>F419-E419</f>
        <v>#VALUE!</v>
      </c>
      <c r="I419" s="45"/>
      <c r="J419" s="135"/>
      <c r="O419" s="128">
        <v>-843654</v>
      </c>
      <c r="P419" s="129" t="e">
        <f>F419-O419</f>
        <v>#VALUE!</v>
      </c>
      <c r="Q419" s="130" t="e">
        <f>P419/O419</f>
        <v>#VALUE!</v>
      </c>
    </row>
    <row r="420" spans="1:17" ht="13" x14ac:dyDescent="0.3">
      <c r="C420" s="121"/>
      <c r="D420" s="122">
        <f>SUM(D418:D419)</f>
        <v>200742</v>
      </c>
      <c r="E420" s="122">
        <f>SUM(E418:E419)</f>
        <v>148738</v>
      </c>
      <c r="F420" s="122" t="e">
        <f>SUM(F418:F419)</f>
        <v>#VALUE!</v>
      </c>
      <c r="G420" s="122" t="e">
        <f>SUM(G418:G419)</f>
        <v>#VALUE!</v>
      </c>
      <c r="H420" s="122" t="e">
        <f>SUM(H418:H419)</f>
        <v>#VALUE!</v>
      </c>
      <c r="I420" s="123"/>
      <c r="J420" s="135"/>
      <c r="O420" s="131">
        <v>-139145.59</v>
      </c>
      <c r="P420" s="129" t="e">
        <f>F420-O420</f>
        <v>#VALUE!</v>
      </c>
      <c r="Q420" s="130" t="e">
        <f>P420/O420</f>
        <v>#VALUE!</v>
      </c>
    </row>
  </sheetData>
  <autoFilter ref="A9:F420" xr:uid="{00000000-0009-0000-0000-000022000000}"/>
  <phoneticPr fontId="56" type="noConversion"/>
  <pageMargins left="0.70866141732283472" right="0.70866141732283472" top="0.74803149606299213" bottom="0.74803149606299213" header="0.31496062992125984" footer="0.31496062992125984"/>
  <pageSetup paperSize="9" scale="10"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K35"/>
  <sheetViews>
    <sheetView view="pageBreakPreview" zoomScale="70" zoomScaleNormal="70" zoomScaleSheetLayoutView="70" workbookViewId="0">
      <selection activeCell="C26" sqref="C26"/>
    </sheetView>
  </sheetViews>
  <sheetFormatPr defaultColWidth="9.296875" defaultRowHeight="12.5" x14ac:dyDescent="0.25"/>
  <cols>
    <col min="1" max="1" width="11.796875" style="120" bestFit="1" customWidth="1"/>
    <col min="2" max="2" width="36.69921875" style="120" bestFit="1" customWidth="1"/>
    <col min="3" max="3" width="16.796875" style="120" customWidth="1"/>
    <col min="4" max="6" width="20.796875" style="120" customWidth="1"/>
    <col min="7" max="7" width="23" style="120" bestFit="1" customWidth="1"/>
    <col min="8" max="9" width="10.796875" style="120" customWidth="1"/>
    <col min="10" max="10" width="9.296875" style="120"/>
    <col min="11" max="11" width="18.19921875" style="328" hidden="1" customWidth="1"/>
    <col min="12" max="16384" width="9.296875" style="120"/>
  </cols>
  <sheetData>
    <row r="1" spans="1:11" ht="18" x14ac:dyDescent="0.4">
      <c r="A1" s="188" t="s">
        <v>73</v>
      </c>
      <c r="B1" s="3"/>
      <c r="C1" s="3"/>
    </row>
    <row r="2" spans="1:11" x14ac:dyDescent="0.25">
      <c r="B2" s="3"/>
      <c r="C2" s="3"/>
      <c r="D2" s="344">
        <v>0</v>
      </c>
      <c r="E2" s="344">
        <v>0</v>
      </c>
      <c r="F2" s="344">
        <v>0</v>
      </c>
      <c r="G2" s="344">
        <v>0</v>
      </c>
      <c r="H2" s="340"/>
      <c r="K2" s="328">
        <v>302966.33501041669</v>
      </c>
    </row>
    <row r="3" spans="1:11" ht="15.5" x14ac:dyDescent="0.35">
      <c r="A3" s="76" t="s">
        <v>74</v>
      </c>
      <c r="B3" s="3"/>
      <c r="C3" s="3"/>
      <c r="D3" s="344">
        <v>0</v>
      </c>
      <c r="E3" s="344">
        <v>0</v>
      </c>
      <c r="F3" s="344">
        <v>0</v>
      </c>
      <c r="G3" s="344">
        <v>0</v>
      </c>
    </row>
    <row r="4" spans="1:11" x14ac:dyDescent="0.25">
      <c r="B4" s="3"/>
      <c r="C4" s="3"/>
    </row>
    <row r="5" spans="1:11" s="76" customFormat="1" ht="15.5" x14ac:dyDescent="0.35">
      <c r="D5" s="179" t="s">
        <v>75</v>
      </c>
      <c r="E5" s="179" t="s">
        <v>76</v>
      </c>
      <c r="F5" s="180" t="s">
        <v>76</v>
      </c>
      <c r="G5" s="181" t="s">
        <v>77</v>
      </c>
      <c r="H5" s="190"/>
      <c r="K5" s="329" t="s">
        <v>75</v>
      </c>
    </row>
    <row r="6" spans="1:11" s="76" customFormat="1" ht="15.5" x14ac:dyDescent="0.35">
      <c r="D6" s="182" t="s">
        <v>78</v>
      </c>
      <c r="E6" s="182" t="s">
        <v>79</v>
      </c>
      <c r="F6" s="183" t="s">
        <v>80</v>
      </c>
      <c r="G6" s="184" t="s">
        <v>81</v>
      </c>
      <c r="H6" s="191"/>
      <c r="K6" s="329" t="s">
        <v>79</v>
      </c>
    </row>
    <row r="7" spans="1:11" s="330" customFormat="1" ht="49.5" customHeight="1" x14ac:dyDescent="0.3">
      <c r="D7" s="185" t="s">
        <v>82</v>
      </c>
      <c r="E7" s="185" t="s">
        <v>82</v>
      </c>
      <c r="F7" s="186" t="s">
        <v>82</v>
      </c>
      <c r="G7" s="187" t="s">
        <v>82</v>
      </c>
      <c r="H7" s="341"/>
      <c r="K7" s="331" t="s">
        <v>82</v>
      </c>
    </row>
    <row r="8" spans="1:11" s="330" customFormat="1" ht="15.5" x14ac:dyDescent="0.3">
      <c r="D8" s="242"/>
      <c r="E8" s="242"/>
      <c r="F8" s="243"/>
      <c r="G8" s="244"/>
      <c r="H8" s="341"/>
      <c r="K8" s="331"/>
    </row>
    <row r="9" spans="1:11" s="76" customFormat="1" ht="15.5" x14ac:dyDescent="0.35">
      <c r="A9" s="364"/>
      <c r="B9" s="365" t="s">
        <v>45</v>
      </c>
      <c r="C9" s="366" t="s">
        <v>83</v>
      </c>
      <c r="D9" s="367"/>
      <c r="E9" s="367">
        <v>0</v>
      </c>
      <c r="F9" s="368">
        <v>0</v>
      </c>
      <c r="G9" s="369">
        <v>0</v>
      </c>
      <c r="H9" s="342"/>
      <c r="K9" s="329">
        <v>8279</v>
      </c>
    </row>
    <row r="10" spans="1:11" s="330" customFormat="1" ht="15.5" x14ac:dyDescent="0.3">
      <c r="D10" s="242"/>
      <c r="E10" s="242"/>
      <c r="F10" s="243"/>
      <c r="G10" s="244"/>
      <c r="H10" s="341"/>
      <c r="K10" s="331"/>
    </row>
    <row r="11" spans="1:11" s="330" customFormat="1" ht="15.5" x14ac:dyDescent="0.3">
      <c r="D11" s="242"/>
      <c r="E11" s="242"/>
      <c r="F11" s="243"/>
      <c r="G11" s="244"/>
      <c r="H11" s="341"/>
      <c r="K11" s="331"/>
    </row>
    <row r="12" spans="1:11" s="76" customFormat="1" ht="15.5" x14ac:dyDescent="0.35">
      <c r="D12" s="357">
        <v>0</v>
      </c>
      <c r="E12" s="357">
        <v>0</v>
      </c>
      <c r="F12" s="357">
        <v>0</v>
      </c>
      <c r="G12" s="357">
        <v>0</v>
      </c>
      <c r="H12" s="342"/>
      <c r="K12" s="329">
        <v>203297.91</v>
      </c>
    </row>
    <row r="13" spans="1:11" s="76" customFormat="1" ht="15.5" x14ac:dyDescent="0.35">
      <c r="D13" s="332" t="e">
        <f>IF(D12=#REF!+#REF!+#REF!+#REF!+#REF!,"","error")</f>
        <v>#REF!</v>
      </c>
      <c r="E13" s="332" t="e">
        <f>IF(E12=#REF!+#REF!+#REF!+#REF!+#REF!,"","error")</f>
        <v>#REF!</v>
      </c>
      <c r="F13" s="333" t="e">
        <f>IF(F12=#REF!+#REF!+#REF!+#REF!+#REF!,"","error")</f>
        <v>#REF!</v>
      </c>
      <c r="G13" s="333" t="e">
        <f>IF(G12=#REF!+#REF!+#REF!+#REF!+#REF!,"","error")</f>
        <v>#REF!</v>
      </c>
      <c r="H13" s="342"/>
      <c r="K13" s="329"/>
    </row>
    <row r="14" spans="1:11" s="76" customFormat="1" ht="15.5" x14ac:dyDescent="0.35">
      <c r="A14" s="364"/>
      <c r="B14" s="365" t="s">
        <v>45</v>
      </c>
      <c r="C14" s="366" t="s">
        <v>83</v>
      </c>
      <c r="D14" s="370" t="e">
        <f>(D12/(D$12+D$25)*D$9)</f>
        <v>#DIV/0!</v>
      </c>
      <c r="E14" s="370" t="e">
        <f>(E12/(E$12+E$25)*E$9)</f>
        <v>#DIV/0!</v>
      </c>
      <c r="F14" s="370" t="e">
        <f>(F12/(F$12+F$25)*F$9)</f>
        <v>#DIV/0!</v>
      </c>
      <c r="G14" s="371" t="e">
        <f>(G12/(G$12+G$25)*G$9)</f>
        <v>#DIV/0!</v>
      </c>
      <c r="H14" s="342"/>
      <c r="K14" s="329">
        <v>5555.4139268712188</v>
      </c>
    </row>
    <row r="15" spans="1:11" s="76" customFormat="1" ht="15.5" x14ac:dyDescent="0.35">
      <c r="A15" s="358" t="s">
        <v>84</v>
      </c>
      <c r="B15" s="359" t="s">
        <v>43</v>
      </c>
      <c r="C15" s="360">
        <v>2.81E-2</v>
      </c>
      <c r="D15" s="361" t="e">
        <f>(D$12-D$14)*$C15</f>
        <v>#DIV/0!</v>
      </c>
      <c r="E15" s="361" t="e">
        <f>(E$12-E$14)*$C15</f>
        <v>#DIV/0!</v>
      </c>
      <c r="F15" s="361" t="e">
        <f>(F$12-F$14)*$C15</f>
        <v>#DIV/0!</v>
      </c>
      <c r="G15" s="362" t="e">
        <f>(G$12-G$14)*$C15</f>
        <v>#DIV/0!</v>
      </c>
      <c r="H15" s="342"/>
      <c r="K15" s="329">
        <v>5712.6712710000002</v>
      </c>
    </row>
    <row r="16" spans="1:11" s="76" customFormat="1" ht="15.5" x14ac:dyDescent="0.35">
      <c r="A16" s="358" t="s">
        <v>85</v>
      </c>
      <c r="B16" s="359" t="s">
        <v>86</v>
      </c>
      <c r="C16" s="360">
        <v>0.32689999999999997</v>
      </c>
      <c r="D16" s="361" t="e">
        <f t="shared" ref="D16:G22" si="0">(D$12-D$14)*$C16</f>
        <v>#DIV/0!</v>
      </c>
      <c r="E16" s="361" t="e">
        <f t="shared" si="0"/>
        <v>#DIV/0!</v>
      </c>
      <c r="F16" s="361" t="e">
        <f t="shared" si="0"/>
        <v>#DIV/0!</v>
      </c>
      <c r="G16" s="362" t="e">
        <f>(G$12-G$14)*$C16</f>
        <v>#DIV/0!</v>
      </c>
      <c r="H16" s="342"/>
      <c r="K16" s="329">
        <v>66458.08677899999</v>
      </c>
    </row>
    <row r="17" spans="1:11" s="76" customFormat="1" ht="15.5" x14ac:dyDescent="0.35">
      <c r="A17" s="358" t="s">
        <v>87</v>
      </c>
      <c r="B17" s="359" t="s">
        <v>88</v>
      </c>
      <c r="C17" s="360">
        <v>3.0200000000000001E-2</v>
      </c>
      <c r="D17" s="361" t="e">
        <f t="shared" si="0"/>
        <v>#DIV/0!</v>
      </c>
      <c r="E17" s="361" t="e">
        <f t="shared" si="0"/>
        <v>#DIV/0!</v>
      </c>
      <c r="F17" s="361" t="e">
        <f t="shared" si="0"/>
        <v>#DIV/0!</v>
      </c>
      <c r="G17" s="362" t="e">
        <f t="shared" si="0"/>
        <v>#DIV/0!</v>
      </c>
      <c r="H17" s="342"/>
      <c r="K17" s="329">
        <v>6139.5968820000007</v>
      </c>
    </row>
    <row r="18" spans="1:11" s="76" customFormat="1" ht="15.5" x14ac:dyDescent="0.35">
      <c r="A18" s="351" t="s">
        <v>89</v>
      </c>
      <c r="B18" s="352" t="s">
        <v>90</v>
      </c>
      <c r="C18" s="353">
        <v>0.12869999999999998</v>
      </c>
      <c r="D18" s="354" t="e">
        <f t="shared" si="0"/>
        <v>#DIV/0!</v>
      </c>
      <c r="E18" s="354" t="e">
        <f t="shared" si="0"/>
        <v>#DIV/0!</v>
      </c>
      <c r="F18" s="354" t="e">
        <f t="shared" si="0"/>
        <v>#DIV/0!</v>
      </c>
      <c r="G18" s="355" t="e">
        <f t="shared" si="0"/>
        <v>#DIV/0!</v>
      </c>
      <c r="H18" s="342"/>
      <c r="K18" s="329">
        <v>26164.441016999997</v>
      </c>
    </row>
    <row r="19" spans="1:11" s="76" customFormat="1" ht="15.5" x14ac:dyDescent="0.35">
      <c r="A19" s="345" t="s">
        <v>91</v>
      </c>
      <c r="B19" s="346" t="s">
        <v>92</v>
      </c>
      <c r="C19" s="347">
        <v>0.12869999999999998</v>
      </c>
      <c r="D19" s="348" t="e">
        <f t="shared" si="0"/>
        <v>#DIV/0!</v>
      </c>
      <c r="E19" s="348" t="e">
        <f t="shared" si="0"/>
        <v>#DIV/0!</v>
      </c>
      <c r="F19" s="348" t="e">
        <f t="shared" si="0"/>
        <v>#DIV/0!</v>
      </c>
      <c r="G19" s="349" t="e">
        <f t="shared" si="0"/>
        <v>#DIV/0!</v>
      </c>
      <c r="H19" s="342"/>
      <c r="K19" s="329">
        <v>26164.441016999997</v>
      </c>
    </row>
    <row r="20" spans="1:11" s="76" customFormat="1" ht="15.5" x14ac:dyDescent="0.35">
      <c r="A20" s="345" t="s">
        <v>91</v>
      </c>
      <c r="B20" s="346" t="s">
        <v>92</v>
      </c>
      <c r="C20" s="347">
        <v>0.30959999999999999</v>
      </c>
      <c r="D20" s="348" t="e">
        <f t="shared" si="0"/>
        <v>#DIV/0!</v>
      </c>
      <c r="E20" s="348" t="e">
        <f t="shared" si="0"/>
        <v>#DIV/0!</v>
      </c>
      <c r="F20" s="348" t="e">
        <f t="shared" si="0"/>
        <v>#DIV/0!</v>
      </c>
      <c r="G20" s="349" t="e">
        <f t="shared" si="0"/>
        <v>#DIV/0!</v>
      </c>
      <c r="H20" s="342"/>
      <c r="K20" s="329">
        <v>62941.032935999996</v>
      </c>
    </row>
    <row r="21" spans="1:11" s="76" customFormat="1" ht="15.5" x14ac:dyDescent="0.35">
      <c r="A21" s="351" t="s">
        <v>93</v>
      </c>
      <c r="B21" s="352" t="s">
        <v>94</v>
      </c>
      <c r="C21" s="353">
        <v>8.199999999999999E-3</v>
      </c>
      <c r="D21" s="354" t="e">
        <f t="shared" si="0"/>
        <v>#DIV/0!</v>
      </c>
      <c r="E21" s="354" t="e">
        <f t="shared" si="0"/>
        <v>#DIV/0!</v>
      </c>
      <c r="F21" s="354" t="e">
        <f t="shared" si="0"/>
        <v>#DIV/0!</v>
      </c>
      <c r="G21" s="355" t="e">
        <f t="shared" si="0"/>
        <v>#DIV/0!</v>
      </c>
      <c r="H21" s="342"/>
      <c r="K21" s="329">
        <v>1667.0428619999998</v>
      </c>
    </row>
    <row r="22" spans="1:11" s="76" customFormat="1" ht="15.5" x14ac:dyDescent="0.35">
      <c r="A22" s="351" t="s">
        <v>95</v>
      </c>
      <c r="B22" s="352" t="s">
        <v>96</v>
      </c>
      <c r="C22" s="353">
        <v>3.9599999999999996E-2</v>
      </c>
      <c r="D22" s="354" t="e">
        <f t="shared" si="0"/>
        <v>#DIV/0!</v>
      </c>
      <c r="E22" s="354" t="e">
        <f t="shared" si="0"/>
        <v>#DIV/0!</v>
      </c>
      <c r="F22" s="354" t="e">
        <f t="shared" si="0"/>
        <v>#DIV/0!</v>
      </c>
      <c r="G22" s="356" t="e">
        <f t="shared" si="0"/>
        <v>#DIV/0!</v>
      </c>
      <c r="H22" s="342"/>
      <c r="K22" s="329">
        <v>8050.5972359999996</v>
      </c>
    </row>
    <row r="23" spans="1:11" s="76" customFormat="1" ht="15.5" x14ac:dyDescent="0.35">
      <c r="D23" s="334"/>
      <c r="E23" s="334"/>
      <c r="F23" s="335"/>
      <c r="G23" s="336"/>
      <c r="K23" s="329"/>
    </row>
    <row r="24" spans="1:11" s="76" customFormat="1" ht="15.5" x14ac:dyDescent="0.35">
      <c r="D24" s="337" t="s">
        <v>97</v>
      </c>
      <c r="E24" s="337" t="s">
        <v>97</v>
      </c>
      <c r="F24" s="338" t="s">
        <v>97</v>
      </c>
      <c r="G24" s="339" t="s">
        <v>97</v>
      </c>
      <c r="H24" s="343"/>
      <c r="K24" s="329" t="s">
        <v>97</v>
      </c>
    </row>
    <row r="25" spans="1:11" s="76" customFormat="1" ht="15.5" x14ac:dyDescent="0.35">
      <c r="D25" s="357">
        <v>0</v>
      </c>
      <c r="E25" s="357">
        <v>0</v>
      </c>
      <c r="F25" s="357">
        <v>0</v>
      </c>
      <c r="G25" s="357">
        <v>0</v>
      </c>
      <c r="H25" s="342"/>
      <c r="K25" s="329">
        <v>99668.425010416657</v>
      </c>
    </row>
    <row r="26" spans="1:11" s="76" customFormat="1" ht="15.5" x14ac:dyDescent="0.35">
      <c r="D26" s="332" t="e">
        <f>D25-#REF!-#REF!-#REF!-#REF!-#REF!-#REF!-#REF!-#REF!-#REF!-#REF!-#REF!-#REF!-#REF!-#REF!-#REF!-#REF!-#REF!-#REF!-#REF!-#REF!-#REF!</f>
        <v>#REF!</v>
      </c>
      <c r="E26" s="332" t="e">
        <f>E25-#REF!-#REF!-#REF!-#REF!-#REF!-#REF!-#REF!-#REF!-#REF!-#REF!-#REF!-#REF!-#REF!-#REF!-#REF!-#REF!-#REF!-#REF!-#REF!-#REF!-#REF!</f>
        <v>#REF!</v>
      </c>
      <c r="F26" s="332" t="e">
        <f>F25-#REF!-#REF!-#REF!-#REF!-#REF!-#REF!-#REF!-#REF!-#REF!-#REF!-#REF!-#REF!-#REF!-#REF!-#REF!-#REF!-#REF!-#REF!-#REF!-#REF!-#REF!</f>
        <v>#REF!</v>
      </c>
      <c r="G26" s="332" t="e">
        <f>G25-#REF!-#REF!-#REF!-#REF!-#REF!-#REF!-#REF!-#REF!-#REF!-#REF!-#REF!-#REF!-#REF!-#REF!-#REF!-#REF!-#REF!-#REF!-#REF!-#REF!-#REF!</f>
        <v>#REF!</v>
      </c>
      <c r="H26" s="342"/>
      <c r="K26" s="329"/>
    </row>
    <row r="27" spans="1:11" s="76" customFormat="1" ht="15.5" x14ac:dyDescent="0.35">
      <c r="A27" s="364"/>
      <c r="B27" s="365" t="s">
        <v>45</v>
      </c>
      <c r="C27" s="366" t="s">
        <v>83</v>
      </c>
      <c r="D27" s="370" t="e">
        <f>(D25/(D$12+D$25)*D$9)</f>
        <v>#DIV/0!</v>
      </c>
      <c r="E27" s="370" t="e">
        <f>(E25/(E$12+E$25)*E$9)</f>
        <v>#DIV/0!</v>
      </c>
      <c r="F27" s="370" t="e">
        <f>(F25/(F$12+F$25)*F$9)</f>
        <v>#DIV/0!</v>
      </c>
      <c r="G27" s="371" t="e">
        <f>(G25/(G$12+G$25)*G$9)</f>
        <v>#DIV/0!</v>
      </c>
      <c r="H27" s="342"/>
      <c r="K27" s="329">
        <v>2723.5860731287812</v>
      </c>
    </row>
    <row r="28" spans="1:11" ht="15.5" x14ac:dyDescent="0.35">
      <c r="A28" s="358" t="s">
        <v>98</v>
      </c>
      <c r="B28" s="359" t="s">
        <v>43</v>
      </c>
      <c r="C28" s="363"/>
      <c r="D28" s="361" t="e">
        <f>(D$25-D$27)*$C15</f>
        <v>#DIV/0!</v>
      </c>
      <c r="E28" s="361" t="e">
        <f>(E$25-E$27)*$C15</f>
        <v>#DIV/0!</v>
      </c>
      <c r="F28" s="361" t="e">
        <f>(F$25-F$27)*$C15</f>
        <v>#DIV/0!</v>
      </c>
      <c r="G28" s="362" t="e">
        <f>(G$25-G$27)*$C15</f>
        <v>#DIV/0!</v>
      </c>
      <c r="H28" s="342"/>
      <c r="K28" s="328">
        <v>2800.6827427927083</v>
      </c>
    </row>
    <row r="29" spans="1:11" ht="15.5" x14ac:dyDescent="0.35">
      <c r="A29" s="358" t="s">
        <v>99</v>
      </c>
      <c r="B29" s="359" t="s">
        <v>86</v>
      </c>
      <c r="C29" s="363"/>
      <c r="D29" s="361" t="e">
        <f t="shared" ref="D29:D35" si="1">(D$25-D$27)*$C16</f>
        <v>#DIV/0!</v>
      </c>
      <c r="E29" s="361" t="e">
        <f t="shared" ref="E29:G35" si="2">(E$25-E$27)*$C16</f>
        <v>#DIV/0!</v>
      </c>
      <c r="F29" s="361" t="e">
        <f t="shared" si="2"/>
        <v>#DIV/0!</v>
      </c>
      <c r="G29" s="362" t="e">
        <f>(G$25-G$27)*$C16</f>
        <v>#DIV/0!</v>
      </c>
      <c r="H29" s="342"/>
      <c r="K29" s="328">
        <v>32581.6081359052</v>
      </c>
    </row>
    <row r="30" spans="1:11" ht="15.5" x14ac:dyDescent="0.35">
      <c r="A30" s="358" t="s">
        <v>100</v>
      </c>
      <c r="B30" s="359" t="s">
        <v>88</v>
      </c>
      <c r="C30" s="363"/>
      <c r="D30" s="361" t="e">
        <f t="shared" si="1"/>
        <v>#DIV/0!</v>
      </c>
      <c r="E30" s="361" t="e">
        <f t="shared" si="2"/>
        <v>#DIV/0!</v>
      </c>
      <c r="F30" s="361" t="e">
        <f t="shared" si="2"/>
        <v>#DIV/0!</v>
      </c>
      <c r="G30" s="362" t="e">
        <f t="shared" si="2"/>
        <v>#DIV/0!</v>
      </c>
      <c r="H30" s="342"/>
      <c r="K30" s="328">
        <v>3009.9864353145831</v>
      </c>
    </row>
    <row r="31" spans="1:11" ht="15.5" x14ac:dyDescent="0.35">
      <c r="A31" s="351" t="s">
        <v>101</v>
      </c>
      <c r="B31" s="352" t="s">
        <v>90</v>
      </c>
      <c r="C31" s="308"/>
      <c r="D31" s="354" t="e">
        <f t="shared" si="1"/>
        <v>#DIV/0!</v>
      </c>
      <c r="E31" s="354" t="e">
        <f t="shared" si="2"/>
        <v>#DIV/0!</v>
      </c>
      <c r="F31" s="354" t="e">
        <f t="shared" si="2"/>
        <v>#DIV/0!</v>
      </c>
      <c r="G31" s="355" t="e">
        <f t="shared" si="2"/>
        <v>#DIV/0!</v>
      </c>
      <c r="H31" s="342"/>
      <c r="K31" s="328">
        <v>12827.326298840622</v>
      </c>
    </row>
    <row r="32" spans="1:11" ht="15.5" x14ac:dyDescent="0.35">
      <c r="A32" s="345" t="s">
        <v>102</v>
      </c>
      <c r="B32" s="346" t="s">
        <v>92</v>
      </c>
      <c r="C32" s="350"/>
      <c r="D32" s="348" t="e">
        <f t="shared" si="1"/>
        <v>#DIV/0!</v>
      </c>
      <c r="E32" s="348" t="e">
        <f t="shared" si="2"/>
        <v>#DIV/0!</v>
      </c>
      <c r="F32" s="348" t="e">
        <f t="shared" si="2"/>
        <v>#DIV/0!</v>
      </c>
      <c r="G32" s="349" t="e">
        <f>(G$25-G$27)*$C19</f>
        <v>#DIV/0!</v>
      </c>
      <c r="H32" s="342"/>
      <c r="K32" s="328">
        <v>12827.326298840622</v>
      </c>
    </row>
    <row r="33" spans="1:11" ht="15.5" x14ac:dyDescent="0.35">
      <c r="A33" s="345" t="s">
        <v>102</v>
      </c>
      <c r="B33" s="346" t="s">
        <v>92</v>
      </c>
      <c r="C33" s="350"/>
      <c r="D33" s="348" t="e">
        <f t="shared" si="1"/>
        <v>#DIV/0!</v>
      </c>
      <c r="E33" s="348" t="e">
        <f t="shared" si="2"/>
        <v>#DIV/0!</v>
      </c>
      <c r="F33" s="348" t="e">
        <f t="shared" si="2"/>
        <v>#DIV/0!</v>
      </c>
      <c r="G33" s="349" t="e">
        <f t="shared" si="2"/>
        <v>#DIV/0!</v>
      </c>
      <c r="H33" s="342"/>
      <c r="K33" s="328">
        <v>30857.344383224994</v>
      </c>
    </row>
    <row r="34" spans="1:11" ht="15.5" x14ac:dyDescent="0.35">
      <c r="A34" s="351" t="s">
        <v>93</v>
      </c>
      <c r="B34" s="352" t="s">
        <v>94</v>
      </c>
      <c r="C34" s="308"/>
      <c r="D34" s="354" t="e">
        <f t="shared" si="1"/>
        <v>#DIV/0!</v>
      </c>
      <c r="E34" s="354" t="e">
        <f t="shared" si="2"/>
        <v>#DIV/0!</v>
      </c>
      <c r="F34" s="354" t="e">
        <f t="shared" si="2"/>
        <v>#DIV/0!</v>
      </c>
      <c r="G34" s="355" t="e">
        <f>(G$25-G$27)*$C21</f>
        <v>#DIV/0!</v>
      </c>
      <c r="H34" s="342"/>
      <c r="K34" s="328">
        <v>817.28108508541652</v>
      </c>
    </row>
    <row r="35" spans="1:11" ht="15.5" x14ac:dyDescent="0.35">
      <c r="A35" s="351" t="s">
        <v>95</v>
      </c>
      <c r="B35" s="352" t="s">
        <v>96</v>
      </c>
      <c r="C35" s="308"/>
      <c r="D35" s="372" t="e">
        <f t="shared" si="1"/>
        <v>#DIV/0!</v>
      </c>
      <c r="E35" s="372" t="e">
        <f t="shared" si="2"/>
        <v>#DIV/0!</v>
      </c>
      <c r="F35" s="372" t="e">
        <f t="shared" si="2"/>
        <v>#DIV/0!</v>
      </c>
      <c r="G35" s="356" t="e">
        <f t="shared" si="2"/>
        <v>#DIV/0!</v>
      </c>
      <c r="H35" s="342"/>
      <c r="K35" s="328">
        <v>3946.8696304124992</v>
      </c>
    </row>
  </sheetData>
  <phoneticPr fontId="56" type="noConversion"/>
  <pageMargins left="0.70866141732283472" right="0.70866141732283472" top="0.74803149606299213" bottom="0.74803149606299213" header="0.31496062992125984" footer="0.31496062992125984"/>
  <pageSetup paperSize="9" scale="86"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AD81"/>
  <sheetViews>
    <sheetView view="pageBreakPreview" topLeftCell="B16" zoomScale="40" zoomScaleNormal="100" zoomScaleSheetLayoutView="40" workbookViewId="0">
      <selection activeCell="N33" sqref="N33"/>
    </sheetView>
  </sheetViews>
  <sheetFormatPr defaultColWidth="9.296875" defaultRowHeight="14" x14ac:dyDescent="0.3"/>
  <cols>
    <col min="1" max="1" width="14.69921875" hidden="1" customWidth="1"/>
    <col min="2" max="2" width="12" customWidth="1"/>
    <col min="3" max="3" width="92.69921875" style="5" customWidth="1"/>
    <col min="4" max="4" width="82" style="5" customWidth="1"/>
    <col min="5" max="8" width="29.296875" style="5" customWidth="1"/>
    <col min="9" max="10" width="17.796875" style="5" customWidth="1"/>
    <col min="11" max="12" width="16.796875" style="5" customWidth="1"/>
    <col min="13" max="13" width="15.69921875" style="5" customWidth="1"/>
    <col min="14" max="14" width="23.69921875" style="5" customWidth="1"/>
    <col min="15" max="15" width="14.296875" style="5" customWidth="1"/>
    <col min="16" max="16" width="15" customWidth="1"/>
    <col min="18" max="18" width="14.69921875" customWidth="1"/>
    <col min="19" max="19" width="12.69921875" customWidth="1"/>
    <col min="20" max="20" width="11.19921875" customWidth="1"/>
    <col min="21" max="21" width="10.5" customWidth="1"/>
    <col min="22" max="22" width="10.19921875" customWidth="1"/>
    <col min="23" max="23" width="12.296875" customWidth="1"/>
    <col min="24" max="24" width="14.296875" customWidth="1"/>
    <col min="25" max="25" width="10.19921875" customWidth="1"/>
    <col min="26" max="26" width="12.296875" customWidth="1"/>
    <col min="27" max="27" width="11.69921875" customWidth="1"/>
    <col min="28" max="28" width="11.796875" customWidth="1"/>
    <col min="29" max="29" width="13.19921875" customWidth="1"/>
    <col min="30" max="30" width="11.796875" customWidth="1"/>
  </cols>
  <sheetData>
    <row r="1" spans="1:30" s="4" customFormat="1" ht="26.25" customHeight="1" x14ac:dyDescent="0.4">
      <c r="B1" s="732" t="s">
        <v>103</v>
      </c>
      <c r="C1" s="732"/>
      <c r="D1" s="732"/>
      <c r="E1" s="732"/>
      <c r="F1" s="732"/>
      <c r="G1" s="732"/>
      <c r="H1" s="732"/>
      <c r="I1" s="413"/>
      <c r="J1" s="413"/>
      <c r="K1" s="413"/>
      <c r="L1" s="413"/>
      <c r="M1" s="413"/>
      <c r="N1" s="413"/>
      <c r="O1" s="413"/>
      <c r="P1" s="413"/>
    </row>
    <row r="2" spans="1:30" s="4" customFormat="1" ht="11.25" customHeight="1" x14ac:dyDescent="0.55000000000000004">
      <c r="B2" s="460"/>
      <c r="C2" s="460"/>
      <c r="D2" s="460"/>
      <c r="E2" s="460"/>
      <c r="F2" s="460"/>
      <c r="G2" s="460"/>
      <c r="H2" s="460"/>
    </row>
    <row r="3" spans="1:30" s="4" customFormat="1" ht="30.75" customHeight="1" x14ac:dyDescent="0.4">
      <c r="A3" s="413" t="s">
        <v>104</v>
      </c>
      <c r="B3" s="732" t="s">
        <v>105</v>
      </c>
      <c r="C3" s="732"/>
      <c r="D3" s="732"/>
      <c r="E3" s="732"/>
      <c r="F3" s="732"/>
      <c r="G3" s="732"/>
      <c r="H3" s="732"/>
      <c r="I3" s="413"/>
      <c r="J3" s="413"/>
      <c r="K3" s="413"/>
      <c r="L3" s="413"/>
      <c r="M3" s="413"/>
      <c r="N3" s="413"/>
      <c r="O3" s="413"/>
      <c r="P3" s="413"/>
    </row>
    <row r="4" spans="1:30" s="4" customFormat="1" ht="11.25" customHeight="1" x14ac:dyDescent="0.4">
      <c r="C4" s="412"/>
      <c r="D4" s="412"/>
      <c r="E4" s="412"/>
      <c r="F4" s="412"/>
      <c r="G4" s="412"/>
      <c r="H4" s="412"/>
      <c r="I4" s="412"/>
      <c r="J4" s="412"/>
      <c r="K4" s="412"/>
      <c r="L4" s="412"/>
      <c r="M4" s="413"/>
      <c r="N4" s="413"/>
      <c r="O4" s="413"/>
      <c r="P4" s="413"/>
    </row>
    <row r="5" spans="1:30" s="4" customFormat="1" ht="32.25" customHeight="1" x14ac:dyDescent="0.4">
      <c r="B5" s="743" t="s">
        <v>106</v>
      </c>
      <c r="C5" s="741"/>
      <c r="D5" s="741"/>
      <c r="E5" s="741"/>
      <c r="F5" s="741"/>
      <c r="G5" s="741"/>
      <c r="H5" s="742"/>
      <c r="J5" s="424"/>
      <c r="K5" s="502"/>
      <c r="L5" s="502"/>
      <c r="M5" s="502"/>
      <c r="N5" s="503"/>
      <c r="O5" s="412"/>
      <c r="P5" s="412"/>
    </row>
    <row r="6" spans="1:30" s="17" customFormat="1" ht="25.5" customHeight="1" x14ac:dyDescent="0.5">
      <c r="B6" s="738" t="s">
        <v>107</v>
      </c>
      <c r="C6" s="739"/>
      <c r="D6" s="462" t="s">
        <v>108</v>
      </c>
      <c r="E6" s="728" t="s">
        <v>109</v>
      </c>
      <c r="F6" s="728" t="s">
        <v>110</v>
      </c>
      <c r="G6" s="728" t="s">
        <v>111</v>
      </c>
      <c r="H6" s="728" t="s">
        <v>112</v>
      </c>
      <c r="J6" s="504"/>
      <c r="K6" s="464"/>
      <c r="L6" s="507"/>
      <c r="M6" s="507"/>
      <c r="N6" s="508"/>
      <c r="O6" s="724"/>
      <c r="P6" s="724"/>
      <c r="Q6" s="724"/>
      <c r="R6" s="724"/>
      <c r="S6" s="724"/>
      <c r="T6" s="724"/>
      <c r="U6" s="724"/>
      <c r="V6" s="724"/>
      <c r="W6" s="724"/>
      <c r="X6" s="724"/>
      <c r="Y6" s="724"/>
      <c r="Z6" s="724"/>
      <c r="AA6" s="724"/>
      <c r="AB6" s="724"/>
      <c r="AC6" s="727"/>
      <c r="AD6" s="724"/>
    </row>
    <row r="7" spans="1:30" s="17" customFormat="1" ht="64.5" customHeight="1" x14ac:dyDescent="0.3">
      <c r="B7" s="435"/>
      <c r="C7" s="436"/>
      <c r="D7" s="461"/>
      <c r="E7" s="729"/>
      <c r="F7" s="729"/>
      <c r="G7" s="729"/>
      <c r="H7" s="729"/>
      <c r="O7" s="724"/>
      <c r="P7" s="724"/>
      <c r="Q7" s="724"/>
      <c r="R7" s="724"/>
      <c r="S7" s="724"/>
      <c r="T7" s="724"/>
      <c r="U7" s="724"/>
      <c r="V7" s="724"/>
      <c r="W7" s="724"/>
      <c r="X7" s="724"/>
      <c r="Y7" s="724"/>
      <c r="Z7" s="724"/>
      <c r="AA7" s="724"/>
      <c r="AB7" s="724"/>
      <c r="AC7" s="727"/>
      <c r="AD7" s="724"/>
    </row>
    <row r="8" spans="1:30" s="17" customFormat="1" ht="18.75" customHeight="1" x14ac:dyDescent="0.3">
      <c r="B8" s="470"/>
      <c r="C8" s="471"/>
      <c r="D8" s="464"/>
      <c r="E8" s="466"/>
      <c r="F8" s="468"/>
      <c r="G8" s="466"/>
      <c r="H8" s="466"/>
      <c r="O8" s="724"/>
      <c r="P8" s="724"/>
      <c r="Q8" s="724"/>
      <c r="R8" s="724"/>
      <c r="S8" s="724"/>
      <c r="T8" s="724"/>
      <c r="U8" s="724"/>
      <c r="V8" s="724"/>
      <c r="W8" s="724"/>
      <c r="X8" s="724"/>
      <c r="Y8" s="724"/>
      <c r="Z8" s="724"/>
      <c r="AA8" s="724"/>
      <c r="AB8" s="724"/>
      <c r="AC8" s="727"/>
      <c r="AD8" s="724"/>
    </row>
    <row r="9" spans="1:30" s="17" customFormat="1" ht="26.25" customHeight="1" x14ac:dyDescent="0.3">
      <c r="B9" s="733" t="s">
        <v>113</v>
      </c>
      <c r="C9" s="734"/>
      <c r="D9" s="463"/>
      <c r="E9" s="442"/>
      <c r="F9" s="442"/>
      <c r="G9" s="442"/>
      <c r="H9" s="442"/>
      <c r="O9" s="724"/>
      <c r="P9" s="724"/>
      <c r="Q9" s="724"/>
      <c r="R9" s="724"/>
      <c r="S9" s="724"/>
      <c r="T9" s="724"/>
      <c r="U9" s="724"/>
      <c r="V9" s="724"/>
      <c r="W9" s="724"/>
      <c r="X9" s="724"/>
      <c r="Y9" s="724"/>
      <c r="Z9" s="724"/>
      <c r="AA9" s="724"/>
      <c r="AB9" s="724"/>
      <c r="AC9" s="727"/>
      <c r="AD9" s="724"/>
    </row>
    <row r="10" spans="1:30" s="17" customFormat="1" ht="16.5" customHeight="1" x14ac:dyDescent="0.5">
      <c r="B10" s="439"/>
      <c r="C10" s="440"/>
      <c r="D10" s="463"/>
      <c r="E10" s="442"/>
      <c r="F10" s="442"/>
      <c r="G10" s="442"/>
      <c r="H10" s="442"/>
      <c r="O10" s="724"/>
      <c r="P10" s="724"/>
      <c r="Q10" s="724"/>
      <c r="R10" s="724"/>
      <c r="S10" s="724"/>
      <c r="T10" s="724"/>
      <c r="U10" s="724"/>
      <c r="V10" s="724"/>
      <c r="W10" s="724"/>
      <c r="X10" s="724"/>
      <c r="Y10" s="724"/>
      <c r="Z10" s="724"/>
      <c r="AA10" s="724"/>
      <c r="AB10" s="724"/>
      <c r="AC10" s="727"/>
      <c r="AD10" s="724"/>
    </row>
    <row r="11" spans="1:30" ht="23" x14ac:dyDescent="0.5">
      <c r="B11" s="443"/>
      <c r="C11" s="444" t="s">
        <v>114</v>
      </c>
      <c r="D11" s="465" t="s">
        <v>115</v>
      </c>
      <c r="E11" s="447">
        <f>'Possible items funded from res'!E5</f>
        <v>5946</v>
      </c>
      <c r="F11" s="445">
        <f>E11</f>
        <v>5946</v>
      </c>
      <c r="G11" s="447">
        <v>0</v>
      </c>
      <c r="H11" s="447">
        <v>0</v>
      </c>
      <c r="I11"/>
      <c r="J11"/>
      <c r="K11"/>
      <c r="L11"/>
      <c r="M11"/>
      <c r="N11"/>
      <c r="O11" s="724"/>
      <c r="P11" s="724"/>
      <c r="Q11" s="724"/>
      <c r="R11" s="724"/>
      <c r="S11" s="724"/>
      <c r="T11" s="724"/>
      <c r="U11" s="724"/>
      <c r="V11" s="724"/>
      <c r="W11" s="724"/>
      <c r="X11" s="724"/>
      <c r="Y11" s="724"/>
      <c r="Z11" s="724"/>
      <c r="AA11" s="724"/>
      <c r="AB11" s="724"/>
      <c r="AC11" s="727"/>
      <c r="AD11" s="724"/>
    </row>
    <row r="12" spans="1:30" ht="23" x14ac:dyDescent="0.5">
      <c r="A12" s="1">
        <v>93150399</v>
      </c>
      <c r="B12" s="443"/>
      <c r="C12" s="444" t="s">
        <v>116</v>
      </c>
      <c r="D12" s="457" t="s">
        <v>115</v>
      </c>
      <c r="E12" s="447">
        <v>10725.4</v>
      </c>
      <c r="F12" s="445">
        <f>E12</f>
        <v>10725.4</v>
      </c>
      <c r="G12" s="447">
        <v>0</v>
      </c>
      <c r="H12" s="447">
        <v>0</v>
      </c>
      <c r="I12"/>
      <c r="O12"/>
    </row>
    <row r="13" spans="1:30" ht="23" x14ac:dyDescent="0.5">
      <c r="A13" s="1"/>
      <c r="B13" s="443"/>
      <c r="C13" s="444" t="s">
        <v>117</v>
      </c>
      <c r="D13" s="457" t="s">
        <v>115</v>
      </c>
      <c r="E13" s="447">
        <v>14349.04</v>
      </c>
      <c r="F13" s="447">
        <f>14349.04-7000</f>
        <v>7349.0400000000009</v>
      </c>
      <c r="G13" s="447">
        <v>0</v>
      </c>
      <c r="H13" s="447">
        <v>7000</v>
      </c>
      <c r="I13"/>
      <c r="O13"/>
    </row>
    <row r="14" spans="1:30" ht="23" x14ac:dyDescent="0.5">
      <c r="A14" s="1"/>
      <c r="B14" s="443"/>
      <c r="C14" s="444" t="s">
        <v>118</v>
      </c>
      <c r="D14" s="457" t="s">
        <v>115</v>
      </c>
      <c r="E14" s="447">
        <f>1077.3+4596.6</f>
        <v>5673.9000000000005</v>
      </c>
      <c r="F14" s="445">
        <f>E14</f>
        <v>5673.9000000000005</v>
      </c>
      <c r="G14" s="447">
        <v>0</v>
      </c>
      <c r="H14" s="447">
        <v>0</v>
      </c>
      <c r="I14"/>
      <c r="O14"/>
    </row>
    <row r="15" spans="1:30" ht="23" x14ac:dyDescent="0.5">
      <c r="A15" s="1"/>
      <c r="B15" s="443"/>
      <c r="C15" s="444" t="s">
        <v>119</v>
      </c>
      <c r="D15" s="457" t="s">
        <v>120</v>
      </c>
      <c r="E15" s="447">
        <v>2665</v>
      </c>
      <c r="F15" s="445">
        <v>2665</v>
      </c>
      <c r="G15" s="447">
        <v>0</v>
      </c>
      <c r="H15" s="447">
        <v>0</v>
      </c>
      <c r="I15"/>
      <c r="O15"/>
    </row>
    <row r="16" spans="1:30" ht="23" x14ac:dyDescent="0.5">
      <c r="A16" s="1"/>
      <c r="B16" s="443"/>
      <c r="C16" s="444" t="s">
        <v>121</v>
      </c>
      <c r="D16" s="457" t="s">
        <v>122</v>
      </c>
      <c r="E16" s="447">
        <v>2075</v>
      </c>
      <c r="F16" s="445">
        <f>E16</f>
        <v>2075</v>
      </c>
      <c r="G16" s="447">
        <v>0</v>
      </c>
      <c r="H16" s="447">
        <v>0</v>
      </c>
      <c r="I16"/>
      <c r="O16"/>
    </row>
    <row r="17" spans="1:15" ht="23" x14ac:dyDescent="0.5">
      <c r="A17" s="1"/>
      <c r="B17" s="443"/>
      <c r="C17" s="444" t="s">
        <v>123</v>
      </c>
      <c r="D17" s="457" t="s">
        <v>59</v>
      </c>
      <c r="E17" s="447">
        <f>6283+2000</f>
        <v>8283</v>
      </c>
      <c r="F17" s="445">
        <v>0</v>
      </c>
      <c r="G17" s="447">
        <v>6283</v>
      </c>
      <c r="H17" s="447">
        <v>2000</v>
      </c>
      <c r="I17"/>
      <c r="J17" s="505"/>
      <c r="K17" s="506"/>
      <c r="L17" s="505"/>
      <c r="M17" s="505"/>
      <c r="N17" s="425"/>
      <c r="O17"/>
    </row>
    <row r="18" spans="1:15" ht="23" x14ac:dyDescent="0.5">
      <c r="A18" s="1"/>
      <c r="B18" s="443"/>
      <c r="C18" s="444" t="s">
        <v>124</v>
      </c>
      <c r="D18" s="457" t="s">
        <v>59</v>
      </c>
      <c r="E18" s="447">
        <v>3950</v>
      </c>
      <c r="F18" s="445">
        <v>0</v>
      </c>
      <c r="G18" s="447">
        <v>3950</v>
      </c>
      <c r="H18" s="447">
        <v>0</v>
      </c>
      <c r="I18"/>
      <c r="J18" s="457"/>
      <c r="K18" s="501"/>
      <c r="L18" s="457"/>
      <c r="M18" s="457"/>
      <c r="N18"/>
      <c r="O18"/>
    </row>
    <row r="19" spans="1:15" ht="23" x14ac:dyDescent="0.5">
      <c r="A19" s="1"/>
      <c r="B19" s="443"/>
      <c r="C19" s="444" t="s">
        <v>125</v>
      </c>
      <c r="D19" s="457" t="s">
        <v>59</v>
      </c>
      <c r="E19" s="447">
        <v>5506</v>
      </c>
      <c r="F19" s="445">
        <v>0</v>
      </c>
      <c r="G19" s="447">
        <v>5506</v>
      </c>
      <c r="H19" s="447">
        <v>0</v>
      </c>
      <c r="I19"/>
      <c r="J19" s="141" t="s">
        <v>126</v>
      </c>
      <c r="K19" s="418"/>
      <c r="L19" s="1"/>
      <c r="M19" s="1"/>
      <c r="N19"/>
      <c r="O19"/>
    </row>
    <row r="20" spans="1:15" ht="23" x14ac:dyDescent="0.5">
      <c r="A20" s="1"/>
      <c r="B20" s="443"/>
      <c r="C20" s="444" t="s">
        <v>127</v>
      </c>
      <c r="D20" s="457" t="s">
        <v>59</v>
      </c>
      <c r="E20" s="515">
        <v>3850</v>
      </c>
      <c r="F20" s="445">
        <v>0</v>
      </c>
      <c r="G20" s="447">
        <v>3850</v>
      </c>
      <c r="H20" s="447">
        <v>0</v>
      </c>
      <c r="I20"/>
      <c r="J20" s="141"/>
      <c r="K20" s="418"/>
      <c r="L20" s="1"/>
      <c r="M20" s="1"/>
      <c r="N20"/>
      <c r="O20"/>
    </row>
    <row r="21" spans="1:15" s="6" customFormat="1" ht="23" x14ac:dyDescent="0.5">
      <c r="A21" s="141"/>
      <c r="B21" s="472"/>
      <c r="C21" s="473"/>
      <c r="D21" s="457"/>
      <c r="E21" s="467"/>
      <c r="F21" s="469"/>
      <c r="G21" s="467"/>
      <c r="H21" s="467"/>
      <c r="I21" s="141"/>
      <c r="J21" s="141"/>
      <c r="K21" s="418"/>
      <c r="L21" s="1"/>
      <c r="M21" s="1"/>
      <c r="N21" s="141"/>
      <c r="O21" s="141"/>
    </row>
    <row r="22" spans="1:15" s="6" customFormat="1" ht="23.5" thickBot="1" x14ac:dyDescent="0.55000000000000004">
      <c r="A22" s="141"/>
      <c r="B22" s="449" t="s">
        <v>128</v>
      </c>
      <c r="C22" s="450"/>
      <c r="D22" s="451"/>
      <c r="E22" s="452">
        <f>SUM(E11:E21)</f>
        <v>63023.340000000004</v>
      </c>
      <c r="F22" s="452">
        <f>SUM(F11:F21)</f>
        <v>34434.340000000004</v>
      </c>
      <c r="G22" s="452">
        <f>SUM(G11:G21)</f>
        <v>19589</v>
      </c>
      <c r="H22" s="452">
        <f>SUM(H11:H21)</f>
        <v>9000</v>
      </c>
      <c r="I22" s="141"/>
      <c r="J22" s="634">
        <f>E22-F22-G22-H22</f>
        <v>0</v>
      </c>
      <c r="K22" s="417"/>
      <c r="L22" s="1"/>
      <c r="M22" s="1"/>
      <c r="N22" s="141"/>
      <c r="O22" s="141"/>
    </row>
    <row r="23" spans="1:15" s="6" customFormat="1" ht="23.5" thickTop="1" x14ac:dyDescent="0.5">
      <c r="A23" s="141"/>
      <c r="B23" s="443"/>
      <c r="C23" s="444"/>
      <c r="D23" s="446"/>
      <c r="E23" s="453"/>
      <c r="F23" s="454"/>
      <c r="G23" s="454"/>
      <c r="H23" s="454"/>
      <c r="I23" s="141"/>
      <c r="J23" s="141"/>
      <c r="K23" s="1"/>
      <c r="L23" s="1"/>
      <c r="M23" s="1"/>
      <c r="N23" s="141"/>
      <c r="O23" s="141"/>
    </row>
    <row r="24" spans="1:15" s="6" customFormat="1" ht="26.25" customHeight="1" x14ac:dyDescent="0.5">
      <c r="A24" s="141"/>
      <c r="B24" s="733" t="s">
        <v>129</v>
      </c>
      <c r="C24" s="734"/>
      <c r="D24" s="446"/>
      <c r="E24" s="453"/>
      <c r="F24" s="454"/>
      <c r="G24" s="454"/>
      <c r="H24" s="454"/>
      <c r="I24" s="141"/>
      <c r="J24" s="141"/>
      <c r="K24" s="1"/>
      <c r="L24" s="1"/>
      <c r="M24" s="1"/>
      <c r="N24" s="141"/>
      <c r="O24" s="141"/>
    </row>
    <row r="25" spans="1:15" s="6" customFormat="1" ht="15.75" customHeight="1" x14ac:dyDescent="0.5">
      <c r="A25" s="141"/>
      <c r="B25" s="443"/>
      <c r="C25" s="440"/>
      <c r="D25" s="446"/>
      <c r="E25" s="453"/>
      <c r="F25" s="454"/>
      <c r="G25" s="454"/>
      <c r="H25" s="454"/>
      <c r="I25" s="141"/>
      <c r="J25" s="141"/>
      <c r="K25" s="1"/>
      <c r="L25" s="1"/>
      <c r="M25" s="1"/>
      <c r="N25" s="141"/>
      <c r="O25" s="141"/>
    </row>
    <row r="26" spans="1:15" s="6" customFormat="1" ht="23" x14ac:dyDescent="0.5">
      <c r="A26" s="141"/>
      <c r="B26" s="443"/>
      <c r="C26" s="444" t="s">
        <v>130</v>
      </c>
      <c r="D26" s="443" t="s">
        <v>131</v>
      </c>
      <c r="E26" s="455">
        <f>2078+2112.6</f>
        <v>4190.6000000000004</v>
      </c>
      <c r="F26" s="455">
        <f>E26</f>
        <v>4190.6000000000004</v>
      </c>
      <c r="G26" s="455">
        <v>0</v>
      </c>
      <c r="H26" s="455">
        <v>0</v>
      </c>
      <c r="I26" s="141"/>
      <c r="J26" s="141"/>
      <c r="K26" s="1"/>
      <c r="L26" s="1"/>
      <c r="M26" s="1"/>
      <c r="N26" s="141"/>
      <c r="O26" s="141"/>
    </row>
    <row r="27" spans="1:15" ht="23" x14ac:dyDescent="0.5">
      <c r="A27" s="1">
        <v>93151399</v>
      </c>
      <c r="B27" s="443"/>
      <c r="C27" s="456" t="s">
        <v>132</v>
      </c>
      <c r="D27" s="443" t="s">
        <v>131</v>
      </c>
      <c r="E27" s="455">
        <v>2870</v>
      </c>
      <c r="F27" s="455">
        <f>E27</f>
        <v>2870</v>
      </c>
      <c r="G27" s="455">
        <v>0</v>
      </c>
      <c r="H27" s="455">
        <v>0</v>
      </c>
      <c r="I27"/>
      <c r="J27"/>
      <c r="K27" s="1"/>
      <c r="L27" s="1"/>
      <c r="M27" s="1"/>
      <c r="N27"/>
      <c r="O27"/>
    </row>
    <row r="28" spans="1:15" ht="23" x14ac:dyDescent="0.5">
      <c r="A28" s="1"/>
      <c r="B28" s="443"/>
      <c r="C28" s="456" t="s">
        <v>133</v>
      </c>
      <c r="D28" s="443" t="s">
        <v>59</v>
      </c>
      <c r="E28" s="455">
        <v>2215</v>
      </c>
      <c r="F28" s="495">
        <v>0</v>
      </c>
      <c r="G28" s="495">
        <v>2215</v>
      </c>
      <c r="H28" s="495">
        <v>0</v>
      </c>
      <c r="I28"/>
      <c r="J28"/>
      <c r="K28" s="1"/>
      <c r="L28" s="1"/>
      <c r="M28" s="1"/>
      <c r="N28"/>
      <c r="O28"/>
    </row>
    <row r="29" spans="1:15" ht="23" x14ac:dyDescent="0.5">
      <c r="A29" s="1">
        <v>93151399</v>
      </c>
      <c r="B29" s="443"/>
      <c r="C29" s="456" t="s">
        <v>134</v>
      </c>
      <c r="D29" s="443" t="s">
        <v>135</v>
      </c>
      <c r="E29" s="455">
        <v>2750</v>
      </c>
      <c r="F29" s="455">
        <f>E29</f>
        <v>2750</v>
      </c>
      <c r="G29" s="455">
        <v>0</v>
      </c>
      <c r="H29" s="455">
        <v>0</v>
      </c>
      <c r="I29"/>
      <c r="J29"/>
      <c r="K29" s="1"/>
      <c r="L29" s="1"/>
      <c r="M29" s="1"/>
      <c r="N29"/>
      <c r="O29"/>
    </row>
    <row r="30" spans="1:15" ht="23" x14ac:dyDescent="0.5">
      <c r="A30" s="1"/>
      <c r="B30" s="443"/>
      <c r="C30" s="456"/>
      <c r="D30" s="446"/>
      <c r="E30" s="453"/>
      <c r="F30" s="454"/>
      <c r="G30" s="454"/>
      <c r="H30" s="454"/>
      <c r="I30"/>
      <c r="J30"/>
      <c r="K30" s="1"/>
      <c r="L30" s="1"/>
      <c r="M30" s="1"/>
      <c r="N30"/>
      <c r="O30"/>
    </row>
    <row r="31" spans="1:15" s="6" customFormat="1" ht="23.5" thickBot="1" x14ac:dyDescent="0.55000000000000004">
      <c r="A31" s="141"/>
      <c r="B31" s="449" t="s">
        <v>128</v>
      </c>
      <c r="C31" s="450"/>
      <c r="D31" s="451"/>
      <c r="E31" s="452">
        <f>SUM(E26:E29)</f>
        <v>12025.6</v>
      </c>
      <c r="F31" s="452">
        <f>SUM(F26:F29)</f>
        <v>9810.6</v>
      </c>
      <c r="G31" s="452">
        <f>SUM(G26:G29)</f>
        <v>2215</v>
      </c>
      <c r="H31" s="452">
        <f>SUM(H26:H29)</f>
        <v>0</v>
      </c>
      <c r="I31" s="141"/>
      <c r="J31" s="141"/>
      <c r="K31" s="1"/>
      <c r="L31" s="1"/>
      <c r="M31" s="1"/>
      <c r="N31" s="141"/>
      <c r="O31" s="141"/>
    </row>
    <row r="32" spans="1:15" ht="23.5" thickTop="1" x14ac:dyDescent="0.5">
      <c r="A32" s="1">
        <v>93151599</v>
      </c>
      <c r="B32" s="443"/>
      <c r="C32" s="444"/>
      <c r="D32" s="446"/>
      <c r="E32" s="453"/>
      <c r="F32" s="454"/>
      <c r="G32" s="454"/>
      <c r="H32" s="454"/>
      <c r="I32"/>
      <c r="J32"/>
      <c r="K32" s="1"/>
      <c r="L32" s="1"/>
      <c r="M32" s="1"/>
      <c r="N32"/>
      <c r="O32"/>
    </row>
    <row r="33" spans="1:30" ht="23.25" customHeight="1" x14ac:dyDescent="0.5">
      <c r="A33" s="1"/>
      <c r="B33" s="733" t="s">
        <v>136</v>
      </c>
      <c r="C33" s="734"/>
      <c r="D33" s="446"/>
      <c r="E33" s="453"/>
      <c r="F33" s="454"/>
      <c r="G33" s="454"/>
      <c r="H33" s="454"/>
      <c r="I33"/>
      <c r="J33"/>
      <c r="K33" s="1"/>
      <c r="L33" s="1"/>
      <c r="M33" s="1"/>
      <c r="N33"/>
      <c r="O33"/>
    </row>
    <row r="34" spans="1:30" ht="27.75" customHeight="1" x14ac:dyDescent="0.5">
      <c r="A34" s="1">
        <v>93151699</v>
      </c>
      <c r="B34" s="733" t="s">
        <v>137</v>
      </c>
      <c r="C34" s="734"/>
      <c r="D34" s="446"/>
      <c r="E34" s="453"/>
      <c r="F34" s="454"/>
      <c r="G34" s="454"/>
      <c r="H34" s="454"/>
      <c r="I34"/>
      <c r="J34"/>
      <c r="K34" s="415"/>
      <c r="L34" s="415"/>
      <c r="M34" s="1"/>
      <c r="N34"/>
      <c r="O34"/>
    </row>
    <row r="35" spans="1:30" ht="21" customHeight="1" x14ac:dyDescent="0.5">
      <c r="A35" s="1"/>
      <c r="B35" s="443"/>
      <c r="C35" s="444"/>
      <c r="D35" s="443"/>
      <c r="E35" s="455"/>
      <c r="F35" s="455"/>
      <c r="G35" s="455"/>
      <c r="H35" s="455"/>
      <c r="I35"/>
      <c r="J35"/>
      <c r="K35" s="415"/>
      <c r="L35" s="415"/>
      <c r="M35" s="1"/>
      <c r="N35"/>
      <c r="O35"/>
    </row>
    <row r="36" spans="1:30" s="4" customFormat="1" ht="21" customHeight="1" x14ac:dyDescent="0.5">
      <c r="B36" s="443"/>
      <c r="C36" s="456" t="s">
        <v>138</v>
      </c>
      <c r="D36" s="443" t="s">
        <v>139</v>
      </c>
      <c r="E36" s="455">
        <v>1685.49</v>
      </c>
      <c r="F36" s="455">
        <f>E36</f>
        <v>1685.49</v>
      </c>
      <c r="G36" s="455">
        <v>0</v>
      </c>
      <c r="H36" s="455">
        <v>0</v>
      </c>
      <c r="K36" s="414"/>
      <c r="L36" s="414"/>
      <c r="M36" s="414"/>
      <c r="N36" s="412"/>
      <c r="O36" s="412"/>
      <c r="P36" s="412"/>
    </row>
    <row r="37" spans="1:30" s="17" customFormat="1" ht="20.25" customHeight="1" x14ac:dyDescent="0.5">
      <c r="B37" s="443"/>
      <c r="C37" s="456"/>
      <c r="D37" s="446"/>
      <c r="E37" s="453"/>
      <c r="F37" s="454"/>
      <c r="G37" s="454"/>
      <c r="H37" s="454"/>
      <c r="K37" s="730"/>
      <c r="L37" s="731"/>
      <c r="M37" s="731"/>
      <c r="N37" s="724"/>
      <c r="O37" s="724"/>
      <c r="P37" s="724"/>
      <c r="Q37" s="724"/>
      <c r="R37" s="724"/>
      <c r="S37" s="724"/>
      <c r="T37" s="724"/>
      <c r="U37" s="724"/>
      <c r="V37" s="724"/>
      <c r="W37" s="724"/>
      <c r="X37" s="724"/>
      <c r="Y37" s="724"/>
      <c r="Z37" s="724"/>
      <c r="AA37" s="724"/>
      <c r="AB37" s="724"/>
      <c r="AC37" s="727"/>
      <c r="AD37" s="724"/>
    </row>
    <row r="38" spans="1:30" s="17" customFormat="1" ht="21" customHeight="1" thickBot="1" x14ac:dyDescent="0.55000000000000004">
      <c r="B38" s="449" t="s">
        <v>128</v>
      </c>
      <c r="C38" s="450"/>
      <c r="D38" s="451"/>
      <c r="E38" s="452">
        <f>SUM(E35:E36)</f>
        <v>1685.49</v>
      </c>
      <c r="F38" s="452">
        <f>SUM(F35:F36)</f>
        <v>1685.49</v>
      </c>
      <c r="G38" s="452">
        <f>SUM(G35:G36)</f>
        <v>0</v>
      </c>
      <c r="H38" s="452">
        <f>SUM(H35:H36)</f>
        <v>0</v>
      </c>
      <c r="K38" s="730"/>
      <c r="L38" s="731"/>
      <c r="M38" s="731"/>
      <c r="N38" s="724"/>
      <c r="O38" s="724"/>
      <c r="P38" s="724"/>
      <c r="Q38" s="724"/>
      <c r="R38" s="724"/>
      <c r="S38" s="724"/>
      <c r="T38" s="724"/>
      <c r="U38" s="724"/>
      <c r="V38" s="724"/>
      <c r="W38" s="724"/>
      <c r="X38" s="724"/>
      <c r="Y38" s="724"/>
      <c r="Z38" s="724"/>
      <c r="AA38" s="724"/>
      <c r="AB38" s="724"/>
      <c r="AC38" s="727"/>
      <c r="AD38" s="724"/>
    </row>
    <row r="39" spans="1:30" ht="23.5" thickTop="1" x14ac:dyDescent="0.5">
      <c r="A39" s="1">
        <v>93151599</v>
      </c>
      <c r="B39" s="443"/>
      <c r="C39" s="444"/>
      <c r="D39" s="446"/>
      <c r="E39" s="453"/>
      <c r="F39" s="454"/>
      <c r="G39" s="454"/>
      <c r="H39" s="454"/>
      <c r="I39"/>
      <c r="J39"/>
      <c r="K39" s="1"/>
      <c r="L39" s="731"/>
      <c r="M39" s="731"/>
      <c r="N39" s="724"/>
      <c r="O39" s="724"/>
      <c r="P39" s="724"/>
      <c r="Q39" s="724"/>
      <c r="R39" s="724"/>
      <c r="S39" s="724"/>
      <c r="T39" s="724"/>
      <c r="U39" s="724"/>
      <c r="V39" s="724"/>
      <c r="W39" s="724"/>
      <c r="X39" s="724"/>
      <c r="Y39" s="724"/>
      <c r="Z39" s="724"/>
      <c r="AA39" s="724"/>
      <c r="AB39" s="724"/>
      <c r="AC39" s="727"/>
      <c r="AD39" s="724"/>
    </row>
    <row r="40" spans="1:30" ht="23.25" customHeight="1" x14ac:dyDescent="0.5">
      <c r="A40" s="1"/>
      <c r="B40" s="733" t="s">
        <v>136</v>
      </c>
      <c r="C40" s="734"/>
      <c r="D40" s="446"/>
      <c r="E40" s="453"/>
      <c r="F40" s="454"/>
      <c r="G40" s="454"/>
      <c r="H40" s="454"/>
      <c r="I40"/>
      <c r="J40"/>
      <c r="K40" s="1"/>
      <c r="L40" s="731"/>
      <c r="M40" s="731"/>
      <c r="N40" s="724"/>
      <c r="O40" s="724"/>
      <c r="P40" s="724"/>
      <c r="Q40" s="724"/>
      <c r="R40" s="724"/>
      <c r="S40" s="724"/>
      <c r="T40" s="724"/>
      <c r="U40" s="724"/>
      <c r="V40" s="724"/>
      <c r="W40" s="724"/>
      <c r="X40" s="724"/>
      <c r="Y40" s="724"/>
      <c r="Z40" s="724"/>
      <c r="AA40" s="724"/>
      <c r="AB40" s="724"/>
      <c r="AC40" s="727"/>
      <c r="AD40" s="724"/>
    </row>
    <row r="41" spans="1:30" ht="26.25" customHeight="1" x14ac:dyDescent="0.5">
      <c r="A41" s="1">
        <v>93151699</v>
      </c>
      <c r="B41" s="733" t="s">
        <v>140</v>
      </c>
      <c r="C41" s="734"/>
      <c r="D41" s="446"/>
      <c r="E41" s="453"/>
      <c r="F41" s="454"/>
      <c r="G41" s="454"/>
      <c r="H41" s="454"/>
      <c r="I41"/>
      <c r="J41"/>
      <c r="K41" s="415"/>
      <c r="L41" s="731"/>
      <c r="M41" s="731"/>
      <c r="N41" s="724"/>
      <c r="O41" s="724"/>
      <c r="P41" s="724"/>
      <c r="Q41" s="724"/>
      <c r="R41" s="724"/>
      <c r="S41" s="724"/>
      <c r="T41" s="724"/>
      <c r="U41" s="724"/>
      <c r="V41" s="724"/>
      <c r="W41" s="724"/>
      <c r="X41" s="724"/>
      <c r="Y41" s="724"/>
      <c r="Z41" s="724"/>
      <c r="AA41" s="724"/>
      <c r="AB41" s="724"/>
      <c r="AC41" s="727"/>
      <c r="AD41" s="724"/>
    </row>
    <row r="42" spans="1:30" ht="23.25" customHeight="1" x14ac:dyDescent="0.5">
      <c r="A42" s="1"/>
      <c r="B42" s="443"/>
      <c r="C42" s="444"/>
      <c r="D42" s="443"/>
      <c r="E42" s="455"/>
      <c r="F42" s="455"/>
      <c r="G42" s="455"/>
      <c r="H42" s="455"/>
      <c r="I42"/>
      <c r="J42"/>
      <c r="K42" s="415"/>
      <c r="L42" s="731"/>
      <c r="M42" s="731"/>
      <c r="N42" s="724"/>
      <c r="O42" s="724"/>
      <c r="P42" s="724"/>
      <c r="Q42" s="724"/>
      <c r="R42" s="724"/>
      <c r="S42" s="724"/>
      <c r="T42" s="724"/>
      <c r="U42" s="724"/>
      <c r="V42" s="724"/>
      <c r="W42" s="724"/>
      <c r="X42" s="724"/>
      <c r="Y42" s="724"/>
      <c r="Z42" s="724"/>
      <c r="AA42" s="724"/>
      <c r="AB42" s="724"/>
      <c r="AC42" s="727"/>
      <c r="AD42" s="724"/>
    </row>
    <row r="43" spans="1:30" s="4" customFormat="1" ht="21" customHeight="1" x14ac:dyDescent="0.5">
      <c r="B43" s="443"/>
      <c r="C43" s="456" t="s">
        <v>141</v>
      </c>
      <c r="D43" s="443" t="s">
        <v>142</v>
      </c>
      <c r="E43" s="455">
        <v>1235</v>
      </c>
      <c r="F43" s="455">
        <f>E43</f>
        <v>1235</v>
      </c>
      <c r="G43" s="455">
        <v>0</v>
      </c>
      <c r="H43" s="455">
        <v>0</v>
      </c>
      <c r="K43" s="414"/>
      <c r="L43" s="731"/>
      <c r="M43" s="731"/>
      <c r="N43" s="724"/>
      <c r="O43" s="724"/>
      <c r="P43" s="724"/>
      <c r="Q43" s="724"/>
      <c r="R43" s="724"/>
      <c r="S43" s="724"/>
      <c r="T43" s="724"/>
      <c r="U43" s="724"/>
      <c r="V43" s="724"/>
      <c r="W43" s="724"/>
      <c r="X43" s="724"/>
      <c r="Y43" s="724"/>
      <c r="Z43" s="724"/>
      <c r="AA43" s="724"/>
      <c r="AB43" s="724"/>
      <c r="AC43" s="727"/>
      <c r="AD43" s="724"/>
    </row>
    <row r="44" spans="1:30" s="17" customFormat="1" ht="20.25" customHeight="1" x14ac:dyDescent="0.5">
      <c r="B44" s="443"/>
      <c r="C44" s="456"/>
      <c r="D44" s="446"/>
      <c r="E44" s="453"/>
      <c r="F44" s="454"/>
      <c r="G44" s="454"/>
      <c r="H44" s="454"/>
      <c r="K44" s="730"/>
      <c r="L44" s="731"/>
      <c r="M44" s="731"/>
      <c r="N44" s="724"/>
      <c r="O44" s="724"/>
      <c r="P44" s="724"/>
      <c r="Q44" s="724"/>
      <c r="R44" s="724"/>
      <c r="S44" s="724"/>
      <c r="T44" s="724"/>
      <c r="U44" s="724"/>
      <c r="V44" s="724"/>
      <c r="W44" s="724"/>
      <c r="X44" s="724"/>
      <c r="Y44" s="724"/>
      <c r="Z44" s="724"/>
      <c r="AA44" s="724"/>
      <c r="AB44" s="724"/>
      <c r="AC44" s="727"/>
      <c r="AD44" s="724"/>
    </row>
    <row r="45" spans="1:30" s="17" customFormat="1" ht="21" customHeight="1" thickBot="1" x14ac:dyDescent="0.55000000000000004">
      <c r="B45" s="449" t="s">
        <v>128</v>
      </c>
      <c r="C45" s="450"/>
      <c r="D45" s="451"/>
      <c r="E45" s="452">
        <f>SUM(E42:E43)</f>
        <v>1235</v>
      </c>
      <c r="F45" s="452">
        <f>SUM(F42:F43)</f>
        <v>1235</v>
      </c>
      <c r="G45" s="452">
        <f>SUM(G42:G43)</f>
        <v>0</v>
      </c>
      <c r="H45" s="452">
        <f>SUM(H42:H43)</f>
        <v>0</v>
      </c>
      <c r="K45" s="730"/>
      <c r="L45" s="731"/>
      <c r="M45" s="731"/>
      <c r="N45" s="724"/>
      <c r="O45" s="724"/>
      <c r="P45" s="724"/>
      <c r="Q45" s="724"/>
      <c r="R45" s="724"/>
      <c r="S45" s="724"/>
      <c r="T45" s="724"/>
      <c r="U45" s="724"/>
      <c r="V45" s="724"/>
      <c r="W45" s="724"/>
      <c r="X45" s="724"/>
      <c r="Y45" s="724"/>
      <c r="Z45" s="724"/>
      <c r="AA45" s="724"/>
      <c r="AB45" s="724"/>
      <c r="AC45" s="727"/>
      <c r="AD45" s="724"/>
    </row>
    <row r="46" spans="1:30" s="17" customFormat="1" ht="16.5" customHeight="1" thickTop="1" x14ac:dyDescent="0.5">
      <c r="B46" s="443"/>
      <c r="C46" s="457"/>
      <c r="D46" s="457"/>
      <c r="E46" s="458"/>
      <c r="F46" s="458"/>
      <c r="G46" s="458"/>
      <c r="H46" s="500"/>
      <c r="K46" s="416"/>
      <c r="L46" s="731"/>
      <c r="M46" s="731"/>
      <c r="N46" s="724"/>
      <c r="O46" s="724"/>
      <c r="P46" s="724"/>
      <c r="Q46" s="724"/>
      <c r="R46" s="724"/>
      <c r="S46" s="724"/>
      <c r="T46" s="724"/>
      <c r="U46" s="724"/>
      <c r="V46" s="724"/>
      <c r="W46" s="724"/>
      <c r="X46" s="724"/>
      <c r="Y46" s="724"/>
      <c r="Z46" s="724"/>
      <c r="AA46" s="724"/>
      <c r="AB46" s="724"/>
      <c r="AC46" s="727"/>
      <c r="AD46" s="724"/>
    </row>
    <row r="47" spans="1:30" ht="54" customHeight="1" thickBot="1" x14ac:dyDescent="0.4">
      <c r="A47" s="1">
        <v>93150699</v>
      </c>
      <c r="B47" s="735" t="s">
        <v>143</v>
      </c>
      <c r="C47" s="736"/>
      <c r="D47" s="737"/>
      <c r="E47" s="459">
        <f>E22+E31+E38+E45</f>
        <v>77969.430000000008</v>
      </c>
      <c r="F47" s="459">
        <f>F22+F31+F38+F45</f>
        <v>47165.43</v>
      </c>
      <c r="G47" s="459">
        <f>G22+G31+G38+G45</f>
        <v>21804</v>
      </c>
      <c r="H47" s="459">
        <f>H22+H31+H38+H45</f>
        <v>9000</v>
      </c>
      <c r="I47"/>
      <c r="J47"/>
      <c r="K47" s="418"/>
      <c r="L47" s="1"/>
      <c r="M47" s="1"/>
      <c r="N47"/>
      <c r="O47"/>
    </row>
    <row r="48" spans="1:30" ht="6.75" customHeight="1" x14ac:dyDescent="0.35">
      <c r="A48" s="1"/>
      <c r="B48" s="498"/>
      <c r="C48" s="498"/>
      <c r="D48" s="498"/>
      <c r="E48" s="499"/>
      <c r="F48" s="499"/>
      <c r="G48" s="499"/>
      <c r="H48" s="499"/>
      <c r="I48"/>
      <c r="J48"/>
      <c r="K48" s="418"/>
      <c r="L48" s="1"/>
      <c r="M48" s="1"/>
      <c r="N48"/>
      <c r="O48"/>
    </row>
    <row r="49" spans="1:30" s="4" customFormat="1" ht="26.25" customHeight="1" x14ac:dyDescent="0.4">
      <c r="B49" s="732" t="s">
        <v>103</v>
      </c>
      <c r="C49" s="732"/>
      <c r="D49" s="732"/>
      <c r="E49" s="732"/>
      <c r="F49" s="732"/>
      <c r="G49" s="732"/>
      <c r="H49" s="732"/>
      <c r="I49" s="413"/>
      <c r="J49" s="413"/>
      <c r="K49" s="413"/>
      <c r="L49" s="413"/>
      <c r="M49" s="413"/>
      <c r="N49" s="413"/>
      <c r="O49" s="413"/>
      <c r="P49" s="413"/>
    </row>
    <row r="50" spans="1:30" s="4" customFormat="1" ht="11.25" customHeight="1" x14ac:dyDescent="0.55000000000000004">
      <c r="B50" s="460"/>
      <c r="C50" s="460"/>
      <c r="D50" s="460"/>
      <c r="E50" s="460"/>
      <c r="F50" s="460"/>
      <c r="G50" s="460"/>
      <c r="H50" s="460"/>
    </row>
    <row r="51" spans="1:30" s="4" customFormat="1" ht="30.75" customHeight="1" x14ac:dyDescent="0.4">
      <c r="A51" s="413" t="s">
        <v>104</v>
      </c>
      <c r="B51" s="732" t="s">
        <v>144</v>
      </c>
      <c r="C51" s="732"/>
      <c r="D51" s="732"/>
      <c r="E51" s="732"/>
      <c r="F51" s="732"/>
      <c r="G51" s="732"/>
      <c r="H51" s="732"/>
      <c r="I51" s="413"/>
      <c r="J51" s="413"/>
      <c r="K51" s="413"/>
      <c r="L51" s="413"/>
      <c r="M51" s="413"/>
      <c r="N51" s="413"/>
      <c r="O51" s="413"/>
      <c r="P51" s="413"/>
    </row>
    <row r="52" spans="1:30" s="4" customFormat="1" ht="12" customHeight="1" x14ac:dyDescent="0.4">
      <c r="C52" s="412"/>
      <c r="D52" s="412"/>
      <c r="E52" s="412"/>
      <c r="F52" s="412"/>
      <c r="G52" s="412"/>
      <c r="H52" s="412"/>
      <c r="I52" s="412"/>
      <c r="J52" s="412"/>
      <c r="K52" s="412"/>
      <c r="L52" s="412"/>
      <c r="M52" s="413"/>
      <c r="N52" s="413"/>
      <c r="O52" s="413"/>
      <c r="P52" s="413"/>
    </row>
    <row r="53" spans="1:30" ht="18.75" hidden="1" customHeight="1" x14ac:dyDescent="0.4">
      <c r="A53" s="1">
        <v>93150799</v>
      </c>
      <c r="B53" s="419"/>
      <c r="C53" s="419"/>
      <c r="D53" s="4"/>
      <c r="E53" s="420"/>
      <c r="F53" s="420"/>
      <c r="G53" s="420"/>
      <c r="H53" s="420"/>
      <c r="I53"/>
      <c r="J53"/>
      <c r="K53" s="418"/>
      <c r="L53" s="1"/>
      <c r="M53" s="1"/>
      <c r="N53"/>
      <c r="O53"/>
    </row>
    <row r="54" spans="1:30" s="6" customFormat="1" ht="34.5" customHeight="1" x14ac:dyDescent="0.35">
      <c r="A54" s="141"/>
      <c r="B54" s="740" t="s">
        <v>145</v>
      </c>
      <c r="C54" s="741"/>
      <c r="D54" s="741"/>
      <c r="E54" s="741"/>
      <c r="F54" s="741"/>
      <c r="G54" s="741"/>
      <c r="H54" s="742"/>
      <c r="I54" s="141"/>
      <c r="J54" s="141"/>
      <c r="K54" s="418"/>
      <c r="L54" s="1"/>
      <c r="M54" s="1"/>
      <c r="N54" s="141"/>
      <c r="O54" s="141"/>
      <c r="P54" s="141"/>
      <c r="Q54" s="141"/>
      <c r="R54" s="141"/>
      <c r="S54" s="141"/>
      <c r="T54" s="141"/>
      <c r="U54" s="141"/>
      <c r="V54" s="141"/>
      <c r="W54" s="141"/>
      <c r="X54" s="141"/>
      <c r="Y54" s="141"/>
      <c r="Z54" s="141"/>
      <c r="AA54" s="141"/>
      <c r="AB54" s="141"/>
      <c r="AC54" s="141"/>
      <c r="AD54" s="141"/>
    </row>
    <row r="55" spans="1:30" s="6" customFormat="1" ht="31.5" customHeight="1" x14ac:dyDescent="0.35">
      <c r="A55" s="141"/>
      <c r="B55" s="738" t="s">
        <v>107</v>
      </c>
      <c r="C55" s="739"/>
      <c r="D55" s="462" t="s">
        <v>108</v>
      </c>
      <c r="E55" s="477" t="s">
        <v>109</v>
      </c>
      <c r="F55" s="728" t="s">
        <v>110</v>
      </c>
      <c r="G55" s="728" t="s">
        <v>111</v>
      </c>
      <c r="H55" s="728" t="s">
        <v>112</v>
      </c>
      <c r="I55" s="141"/>
      <c r="J55" s="141"/>
      <c r="K55" s="418"/>
      <c r="L55" s="1"/>
      <c r="M55" s="1"/>
      <c r="N55" s="141"/>
      <c r="O55" s="141"/>
      <c r="P55" s="141"/>
      <c r="Q55" s="141"/>
      <c r="R55" s="141"/>
      <c r="S55" s="141"/>
      <c r="T55" s="141"/>
      <c r="U55" s="141"/>
      <c r="V55" s="141"/>
      <c r="W55" s="141"/>
      <c r="X55" s="141"/>
      <c r="Y55" s="141"/>
      <c r="Z55" s="141"/>
      <c r="AA55" s="141"/>
      <c r="AB55" s="141"/>
      <c r="AC55" s="141"/>
      <c r="AD55" s="141"/>
    </row>
    <row r="56" spans="1:30" s="6" customFormat="1" ht="66.75" customHeight="1" x14ac:dyDescent="0.35">
      <c r="A56" s="141"/>
      <c r="B56" s="435"/>
      <c r="C56" s="436"/>
      <c r="D56" s="461"/>
      <c r="E56" s="476"/>
      <c r="F56" s="729"/>
      <c r="G56" s="729"/>
      <c r="H56" s="729"/>
      <c r="I56" s="141"/>
      <c r="J56" s="141"/>
      <c r="K56" s="417"/>
      <c r="L56" s="1"/>
      <c r="M56" s="1"/>
      <c r="N56" s="141"/>
      <c r="O56" s="141"/>
      <c r="P56" s="141"/>
      <c r="Q56" s="141"/>
      <c r="R56" s="141"/>
      <c r="S56" s="141"/>
      <c r="T56" s="141"/>
      <c r="U56" s="141"/>
      <c r="V56" s="141"/>
      <c r="W56" s="141"/>
      <c r="X56" s="141"/>
      <c r="Y56" s="141"/>
      <c r="Z56" s="141"/>
      <c r="AA56" s="141"/>
      <c r="AB56" s="141"/>
      <c r="AC56" s="141"/>
      <c r="AD56" s="141"/>
    </row>
    <row r="57" spans="1:30" s="6" customFormat="1" ht="20.25" customHeight="1" x14ac:dyDescent="0.35">
      <c r="A57" s="141"/>
      <c r="B57" s="725"/>
      <c r="C57" s="726"/>
      <c r="D57" s="437"/>
      <c r="E57" s="437"/>
      <c r="F57" s="438"/>
      <c r="G57" s="437"/>
      <c r="H57" s="438"/>
      <c r="I57" s="141"/>
      <c r="J57" s="141"/>
      <c r="K57" s="1"/>
      <c r="L57" s="1"/>
      <c r="M57" s="1"/>
      <c r="N57" s="141"/>
      <c r="O57" s="141"/>
      <c r="P57" s="141"/>
      <c r="Q57" s="141"/>
      <c r="R57" s="141"/>
      <c r="S57" s="141"/>
      <c r="T57" s="141"/>
      <c r="U57" s="141"/>
      <c r="V57" s="141"/>
      <c r="W57" s="141"/>
      <c r="X57" s="141"/>
      <c r="Y57" s="141"/>
      <c r="Z57" s="141"/>
      <c r="AA57" s="141"/>
      <c r="AB57" s="141"/>
      <c r="AC57" s="141"/>
      <c r="AD57" s="141"/>
    </row>
    <row r="58" spans="1:30" s="6" customFormat="1" ht="26.25" customHeight="1" x14ac:dyDescent="0.35">
      <c r="A58" s="141"/>
      <c r="B58" s="733" t="s">
        <v>136</v>
      </c>
      <c r="C58" s="734"/>
      <c r="D58" s="441"/>
      <c r="E58" s="441"/>
      <c r="F58" s="442"/>
      <c r="G58" s="441"/>
      <c r="H58" s="442"/>
      <c r="I58" s="141"/>
      <c r="J58" s="141"/>
      <c r="K58" s="1"/>
      <c r="L58" s="1"/>
      <c r="M58" s="1"/>
      <c r="N58" s="141"/>
      <c r="O58" s="141"/>
      <c r="P58" s="141"/>
      <c r="Q58" s="141"/>
      <c r="R58" s="141"/>
      <c r="S58" s="141"/>
      <c r="T58" s="141"/>
      <c r="U58" s="141"/>
      <c r="V58" s="141"/>
      <c r="W58" s="141"/>
      <c r="X58" s="141"/>
      <c r="Y58" s="141"/>
      <c r="Z58" s="141"/>
      <c r="AA58" s="141"/>
      <c r="AB58" s="141"/>
      <c r="AC58" s="141"/>
      <c r="AD58" s="141"/>
    </row>
    <row r="59" spans="1:30" s="6" customFormat="1" ht="23" hidden="1" x14ac:dyDescent="0.5">
      <c r="A59" s="141"/>
      <c r="B59" s="443"/>
      <c r="C59" s="444"/>
      <c r="D59" s="446"/>
      <c r="E59" s="447"/>
      <c r="F59" s="445"/>
      <c r="G59" s="447"/>
      <c r="H59" s="447"/>
      <c r="I59" s="141"/>
      <c r="J59" s="141"/>
      <c r="K59" s="1"/>
      <c r="L59" s="1"/>
      <c r="M59" s="1"/>
      <c r="N59" s="141"/>
      <c r="O59" s="141"/>
      <c r="P59" s="141"/>
      <c r="Q59" s="141"/>
      <c r="R59" s="141"/>
      <c r="S59" s="141"/>
      <c r="T59" s="141"/>
      <c r="U59" s="141"/>
      <c r="V59" s="141"/>
      <c r="W59" s="141"/>
      <c r="X59" s="141"/>
      <c r="Y59" s="141"/>
      <c r="Z59" s="141"/>
      <c r="AA59" s="141"/>
      <c r="AB59" s="141"/>
      <c r="AC59" s="141"/>
      <c r="AD59" s="141"/>
    </row>
    <row r="60" spans="1:30" ht="23" x14ac:dyDescent="0.5">
      <c r="A60" s="1">
        <v>93151399</v>
      </c>
      <c r="B60" s="443"/>
      <c r="C60" s="456" t="s">
        <v>146</v>
      </c>
      <c r="D60" s="443" t="s">
        <v>135</v>
      </c>
      <c r="E60" s="455">
        <v>5500</v>
      </c>
      <c r="F60" s="455">
        <v>5500</v>
      </c>
      <c r="G60" s="455">
        <v>0</v>
      </c>
      <c r="H60" s="455">
        <v>0</v>
      </c>
      <c r="I60"/>
      <c r="J60"/>
      <c r="K60" s="1"/>
      <c r="L60" s="1"/>
      <c r="M60" s="1"/>
      <c r="N60"/>
      <c r="O60"/>
    </row>
    <row r="61" spans="1:30" ht="23" x14ac:dyDescent="0.5">
      <c r="A61" s="1"/>
      <c r="B61" s="443"/>
      <c r="C61" s="456" t="s">
        <v>147</v>
      </c>
      <c r="D61" s="443" t="s">
        <v>131</v>
      </c>
      <c r="E61" s="455">
        <v>60000</v>
      </c>
      <c r="F61" s="495" t="e">
        <f>-Reserves!#REF!</f>
        <v>#REF!</v>
      </c>
      <c r="G61" s="495">
        <v>0</v>
      </c>
      <c r="H61" s="455">
        <v>60000</v>
      </c>
      <c r="I61"/>
      <c r="J61"/>
      <c r="K61" s="1"/>
      <c r="L61" s="1"/>
      <c r="M61" s="1"/>
      <c r="N61"/>
      <c r="O61"/>
    </row>
    <row r="62" spans="1:30" ht="23" x14ac:dyDescent="0.5">
      <c r="A62" s="1"/>
      <c r="B62" s="443"/>
      <c r="C62" s="456" t="s">
        <v>148</v>
      </c>
      <c r="D62" s="443" t="s">
        <v>149</v>
      </c>
      <c r="E62" s="455">
        <v>13250</v>
      </c>
      <c r="F62" s="495">
        <v>13250</v>
      </c>
      <c r="G62" s="495">
        <v>0</v>
      </c>
      <c r="H62" s="455">
        <v>0</v>
      </c>
      <c r="I62"/>
      <c r="J62"/>
      <c r="K62" s="1"/>
      <c r="L62" s="1"/>
      <c r="M62" s="1"/>
      <c r="N62"/>
      <c r="O62"/>
    </row>
    <row r="63" spans="1:30" ht="23" x14ac:dyDescent="0.5">
      <c r="A63" s="1"/>
      <c r="B63" s="443"/>
      <c r="C63" s="444"/>
      <c r="D63" s="446"/>
      <c r="E63" s="447"/>
      <c r="F63" s="448"/>
      <c r="G63" s="496"/>
      <c r="H63" s="467"/>
      <c r="I63"/>
      <c r="J63"/>
      <c r="K63" s="1"/>
      <c r="L63" s="1"/>
      <c r="M63" s="1"/>
      <c r="N63"/>
      <c r="O63"/>
    </row>
    <row r="64" spans="1:30" s="17" customFormat="1" ht="21" customHeight="1" thickBot="1" x14ac:dyDescent="0.55000000000000004">
      <c r="B64" s="449" t="s">
        <v>128</v>
      </c>
      <c r="C64" s="450"/>
      <c r="D64" s="451"/>
      <c r="E64" s="452">
        <f>SUM(E59:E62)</f>
        <v>78750</v>
      </c>
      <c r="F64" s="452" t="e">
        <f>SUM(F59:F62)</f>
        <v>#REF!</v>
      </c>
      <c r="G64" s="452">
        <f>SUM(G59:G62)</f>
        <v>0</v>
      </c>
      <c r="H64" s="452">
        <f>SUM(H59:H62)</f>
        <v>60000</v>
      </c>
      <c r="K64" s="1"/>
      <c r="L64" s="1"/>
      <c r="M64" s="1"/>
      <c r="N64" s="141"/>
      <c r="O64" s="141"/>
      <c r="P64" s="141"/>
      <c r="Q64" s="141"/>
      <c r="R64" s="141"/>
      <c r="S64" s="141"/>
      <c r="T64" s="141"/>
      <c r="U64" s="141"/>
      <c r="V64" s="141"/>
      <c r="W64" s="141"/>
      <c r="X64" s="141"/>
      <c r="Y64" s="141"/>
      <c r="Z64" s="141"/>
      <c r="AA64" s="141"/>
      <c r="AB64" s="141"/>
      <c r="AC64" s="141"/>
      <c r="AD64" s="141"/>
    </row>
    <row r="65" spans="1:30" s="17" customFormat="1" ht="26.25" customHeight="1" thickTop="1" x14ac:dyDescent="0.5">
      <c r="B65" s="443"/>
      <c r="C65" s="457"/>
      <c r="D65" s="457"/>
      <c r="E65" s="458"/>
      <c r="F65" s="458"/>
      <c r="G65" s="497"/>
      <c r="H65" s="500"/>
      <c r="K65" s="416"/>
      <c r="L65" s="1"/>
      <c r="M65" s="1"/>
      <c r="N65"/>
      <c r="O65"/>
      <c r="P65"/>
      <c r="Q65"/>
      <c r="R65"/>
      <c r="S65"/>
      <c r="T65"/>
      <c r="U65"/>
      <c r="V65"/>
      <c r="W65"/>
      <c r="X65"/>
      <c r="Y65"/>
      <c r="Z65"/>
      <c r="AA65"/>
      <c r="AB65"/>
      <c r="AC65"/>
      <c r="AD65"/>
    </row>
    <row r="66" spans="1:30" ht="54.75" customHeight="1" thickBot="1" x14ac:dyDescent="0.4">
      <c r="A66" s="1">
        <v>93150699</v>
      </c>
      <c r="B66" s="735" t="s">
        <v>150</v>
      </c>
      <c r="C66" s="736"/>
      <c r="D66" s="737"/>
      <c r="E66" s="459">
        <f>E64</f>
        <v>78750</v>
      </c>
      <c r="F66" s="459" t="e">
        <f>F64</f>
        <v>#REF!</v>
      </c>
      <c r="G66" s="459">
        <f>G64</f>
        <v>0</v>
      </c>
      <c r="H66" s="459">
        <f>H64</f>
        <v>60000</v>
      </c>
      <c r="I66"/>
      <c r="J66"/>
      <c r="K66" s="418"/>
      <c r="L66" s="1"/>
      <c r="M66" s="1"/>
      <c r="N66"/>
      <c r="O66"/>
    </row>
    <row r="67" spans="1:30" ht="41.25" customHeight="1" x14ac:dyDescent="0.45">
      <c r="A67" s="1">
        <v>93151699</v>
      </c>
      <c r="B67" s="421"/>
      <c r="C67" s="474"/>
      <c r="D67" s="421"/>
      <c r="E67" s="421"/>
      <c r="F67" s="421"/>
      <c r="G67" s="421"/>
      <c r="H67" s="421"/>
      <c r="I67"/>
      <c r="J67"/>
      <c r="K67" s="415"/>
      <c r="L67" s="415"/>
      <c r="M67" s="1"/>
      <c r="N67"/>
      <c r="O67"/>
    </row>
    <row r="68" spans="1:30" ht="41.25" customHeight="1" x14ac:dyDescent="0.45">
      <c r="A68" s="1"/>
      <c r="B68" s="514" t="s">
        <v>126</v>
      </c>
      <c r="C68" s="474"/>
      <c r="D68" s="421"/>
      <c r="E68" s="421"/>
      <c r="F68" s="421"/>
      <c r="G68" s="421"/>
      <c r="H68" s="421"/>
      <c r="I68"/>
      <c r="J68"/>
      <c r="K68" s="415"/>
      <c r="L68" s="415"/>
      <c r="M68" s="1"/>
      <c r="N68"/>
      <c r="O68"/>
    </row>
    <row r="69" spans="1:30" ht="25.5" x14ac:dyDescent="0.45">
      <c r="B69" s="511" t="s">
        <v>120</v>
      </c>
      <c r="C69" s="464"/>
      <c r="D69" s="507"/>
      <c r="E69" s="507"/>
      <c r="F69" s="512">
        <f>F15</f>
        <v>2665</v>
      </c>
      <c r="G69" s="421"/>
      <c r="H69" s="421"/>
    </row>
    <row r="70" spans="1:30" ht="25.5" x14ac:dyDescent="0.5">
      <c r="B70" s="505" t="s">
        <v>131</v>
      </c>
      <c r="C70" s="463"/>
      <c r="D70" s="507"/>
      <c r="E70" s="507"/>
      <c r="F70" s="509">
        <f>F26+F27</f>
        <v>7060.6</v>
      </c>
      <c r="G70" s="421"/>
      <c r="H70" s="421"/>
    </row>
    <row r="71" spans="1:30" ht="25.5" x14ac:dyDescent="0.5">
      <c r="B71" s="505" t="s">
        <v>115</v>
      </c>
      <c r="C71" s="463"/>
      <c r="D71" s="507"/>
      <c r="E71" s="507"/>
      <c r="F71" s="509">
        <f>F11+F12+F13+F14</f>
        <v>29694.340000000004</v>
      </c>
      <c r="G71" s="421"/>
      <c r="H71" s="421"/>
    </row>
    <row r="72" spans="1:30" ht="25.5" x14ac:dyDescent="0.5">
      <c r="B72" s="505" t="s">
        <v>122</v>
      </c>
      <c r="C72" s="506"/>
      <c r="D72" s="507"/>
      <c r="E72" s="507"/>
      <c r="F72" s="509">
        <f>F16</f>
        <v>2075</v>
      </c>
      <c r="G72" s="421"/>
      <c r="H72" s="421"/>
    </row>
    <row r="73" spans="1:30" ht="25.5" x14ac:dyDescent="0.55000000000000004">
      <c r="B73" s="505" t="s">
        <v>139</v>
      </c>
      <c r="C73" s="506"/>
      <c r="D73" s="505"/>
      <c r="E73" s="505"/>
      <c r="F73" s="510">
        <f>F36</f>
        <v>1685.49</v>
      </c>
      <c r="G73" s="475"/>
      <c r="H73" s="475"/>
    </row>
    <row r="74" spans="1:30" ht="25.5" x14ac:dyDescent="0.55000000000000004">
      <c r="B74" s="505" t="s">
        <v>142</v>
      </c>
      <c r="C74" s="506"/>
      <c r="D74" s="505"/>
      <c r="E74" s="505"/>
      <c r="F74" s="510">
        <f>F43</f>
        <v>1235</v>
      </c>
    </row>
    <row r="75" spans="1:30" ht="25.5" x14ac:dyDescent="0.55000000000000004">
      <c r="B75" s="505" t="s">
        <v>135</v>
      </c>
      <c r="C75" s="506"/>
      <c r="D75" s="505"/>
      <c r="E75" s="505"/>
      <c r="F75" s="510">
        <f>F29</f>
        <v>2750</v>
      </c>
    </row>
    <row r="76" spans="1:30" ht="25" x14ac:dyDescent="0.5">
      <c r="B76" s="505"/>
      <c r="C76" s="506"/>
      <c r="D76" s="505"/>
      <c r="E76" s="505"/>
      <c r="F76" s="513">
        <f>SUM(F69:F75)</f>
        <v>47165.43</v>
      </c>
    </row>
    <row r="77" spans="1:30" ht="25" x14ac:dyDescent="0.5">
      <c r="B77" s="505"/>
      <c r="C77" s="506"/>
      <c r="D77" s="505"/>
      <c r="E77" s="505"/>
      <c r="F77" s="513"/>
    </row>
    <row r="78" spans="1:30" ht="25.5" x14ac:dyDescent="0.55000000000000004">
      <c r="B78" s="505" t="s">
        <v>59</v>
      </c>
      <c r="C78" s="506"/>
      <c r="D78" s="505"/>
      <c r="E78" s="505"/>
      <c r="F78" s="510">
        <f>G22+G31</f>
        <v>21804</v>
      </c>
      <c r="G78" s="421"/>
      <c r="H78" s="421"/>
    </row>
    <row r="79" spans="1:30" ht="25.5" x14ac:dyDescent="0.55000000000000004">
      <c r="B79" s="505" t="s">
        <v>151</v>
      </c>
      <c r="C79" s="506"/>
      <c r="D79" s="505"/>
      <c r="E79" s="505"/>
      <c r="F79" s="510">
        <f>H13+H17</f>
        <v>9000</v>
      </c>
    </row>
    <row r="80" spans="1:30" ht="25" x14ac:dyDescent="0.5">
      <c r="B80" s="505"/>
      <c r="C80" s="506"/>
      <c r="D80" s="505"/>
      <c r="E80" s="505"/>
      <c r="F80" s="513">
        <f>F76+F78+F79</f>
        <v>77969.429999999993</v>
      </c>
    </row>
    <row r="81" spans="6:6" ht="25.5" x14ac:dyDescent="0.55000000000000004">
      <c r="F81" s="516">
        <f>F80-E47</f>
        <v>0</v>
      </c>
    </row>
  </sheetData>
  <mergeCells count="62">
    <mergeCell ref="B66:D66"/>
    <mergeCell ref="B58:C58"/>
    <mergeCell ref="B54:H54"/>
    <mergeCell ref="B55:C55"/>
    <mergeCell ref="B1:H1"/>
    <mergeCell ref="B3:H3"/>
    <mergeCell ref="B33:C33"/>
    <mergeCell ref="B34:C34"/>
    <mergeCell ref="B9:C9"/>
    <mergeCell ref="G6:G7"/>
    <mergeCell ref="H6:H7"/>
    <mergeCell ref="B5:H5"/>
    <mergeCell ref="R6:R11"/>
    <mergeCell ref="P6:P11"/>
    <mergeCell ref="S6:S11"/>
    <mergeCell ref="Q6:Q11"/>
    <mergeCell ref="B47:D47"/>
    <mergeCell ref="N37:N46"/>
    <mergeCell ref="O37:O46"/>
    <mergeCell ref="K44:K45"/>
    <mergeCell ref="B6:C6"/>
    <mergeCell ref="B24:C24"/>
    <mergeCell ref="F6:F7"/>
    <mergeCell ref="O6:O11"/>
    <mergeCell ref="E6:E7"/>
    <mergeCell ref="AA37:AA46"/>
    <mergeCell ref="B49:H49"/>
    <mergeCell ref="B51:H51"/>
    <mergeCell ref="H55:H56"/>
    <mergeCell ref="R37:R46"/>
    <mergeCell ref="S37:S46"/>
    <mergeCell ref="T37:T46"/>
    <mergeCell ref="B40:C40"/>
    <mergeCell ref="B41:C41"/>
    <mergeCell ref="L37:L46"/>
    <mergeCell ref="X6:X11"/>
    <mergeCell ref="T6:T11"/>
    <mergeCell ref="AD6:AD11"/>
    <mergeCell ref="Y6:Y11"/>
    <mergeCell ref="Z6:Z11"/>
    <mergeCell ref="AA6:AA11"/>
    <mergeCell ref="AC6:AC11"/>
    <mergeCell ref="AB6:AB11"/>
    <mergeCell ref="U6:U11"/>
    <mergeCell ref="V6:V11"/>
    <mergeCell ref="W6:W11"/>
    <mergeCell ref="AD37:AD46"/>
    <mergeCell ref="B57:C57"/>
    <mergeCell ref="V37:V46"/>
    <mergeCell ref="W37:W46"/>
    <mergeCell ref="X37:X46"/>
    <mergeCell ref="Y37:Y46"/>
    <mergeCell ref="Z37:Z46"/>
    <mergeCell ref="AC37:AC46"/>
    <mergeCell ref="F55:F56"/>
    <mergeCell ref="K37:K38"/>
    <mergeCell ref="M37:M46"/>
    <mergeCell ref="P37:P46"/>
    <mergeCell ref="Q37:Q46"/>
    <mergeCell ref="AB37:AB46"/>
    <mergeCell ref="U37:U46"/>
    <mergeCell ref="G55:G56"/>
  </mergeCells>
  <phoneticPr fontId="93" type="noConversion"/>
  <printOptions horizontalCentered="1"/>
  <pageMargins left="0.74803149606299213" right="0.6692913385826772" top="0.74803149606299213" bottom="0.74803149606299213" header="0.31496062992125984" footer="0.31496062992125984"/>
  <pageSetup paperSize="9" scale="48" fitToHeight="2" orientation="landscape" r:id="rId1"/>
  <headerFooter alignWithMargins="0">
    <oddFooter>&amp;C&amp;18Page &amp;P</oddFooter>
  </headerFooter>
  <rowBreaks count="1" manualBreakCount="1">
    <brk id="47"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CCFF"/>
  </sheetPr>
  <dimension ref="A2:H137"/>
  <sheetViews>
    <sheetView topLeftCell="A121" workbookViewId="0"/>
  </sheetViews>
  <sheetFormatPr defaultColWidth="9.296875" defaultRowHeight="12.5" x14ac:dyDescent="0.25"/>
  <cols>
    <col min="1" max="7" width="9.296875" style="120"/>
    <col min="8" max="8" width="10.19921875" style="120" customWidth="1"/>
    <col min="9" max="16384" width="9.296875" style="120"/>
  </cols>
  <sheetData>
    <row r="2" spans="1:8" ht="13" x14ac:dyDescent="0.3">
      <c r="A2" s="157" t="s">
        <v>43</v>
      </c>
      <c r="B2" s="158"/>
      <c r="C2" s="158"/>
      <c r="D2" s="158"/>
      <c r="E2" s="158"/>
      <c r="F2" s="158"/>
      <c r="G2" s="158"/>
      <c r="H2" s="159"/>
    </row>
    <row r="4" spans="1:8" ht="13" x14ac:dyDescent="0.3">
      <c r="A4" s="156" t="s">
        <v>152</v>
      </c>
    </row>
    <row r="5" spans="1:8" x14ac:dyDescent="0.25">
      <c r="A5" s="120" t="s">
        <v>153</v>
      </c>
    </row>
    <row r="6" spans="1:8" x14ac:dyDescent="0.25">
      <c r="A6" s="120" t="s">
        <v>154</v>
      </c>
    </row>
    <row r="8" spans="1:8" ht="13" x14ac:dyDescent="0.3">
      <c r="A8" s="635" t="s">
        <v>57</v>
      </c>
    </row>
    <row r="9" spans="1:8" x14ac:dyDescent="0.25">
      <c r="A9" s="120" t="s">
        <v>155</v>
      </c>
    </row>
    <row r="10" spans="1:8" x14ac:dyDescent="0.25">
      <c r="A10" s="120" t="s">
        <v>156</v>
      </c>
    </row>
    <row r="13" spans="1:8" ht="13" x14ac:dyDescent="0.3">
      <c r="A13" s="157" t="s">
        <v>157</v>
      </c>
      <c r="B13" s="158"/>
      <c r="C13" s="158"/>
      <c r="D13" s="158"/>
      <c r="E13" s="158"/>
      <c r="F13" s="158"/>
      <c r="G13" s="158"/>
      <c r="H13" s="159"/>
    </row>
    <row r="15" spans="1:8" ht="13" x14ac:dyDescent="0.3">
      <c r="A15" s="156" t="s">
        <v>152</v>
      </c>
    </row>
    <row r="16" spans="1:8" x14ac:dyDescent="0.25">
      <c r="A16" s="120" t="s">
        <v>158</v>
      </c>
    </row>
    <row r="17" spans="1:2" x14ac:dyDescent="0.25">
      <c r="A17" s="120" t="s">
        <v>159</v>
      </c>
    </row>
    <row r="19" spans="1:2" x14ac:dyDescent="0.25">
      <c r="A19" s="120" t="s">
        <v>160</v>
      </c>
    </row>
    <row r="21" spans="1:2" x14ac:dyDescent="0.25">
      <c r="A21" s="120" t="s">
        <v>161</v>
      </c>
    </row>
    <row r="23" spans="1:2" x14ac:dyDescent="0.25">
      <c r="B23" s="120" t="s">
        <v>162</v>
      </c>
    </row>
    <row r="24" spans="1:2" x14ac:dyDescent="0.25">
      <c r="B24" s="120" t="s">
        <v>163</v>
      </c>
    </row>
    <row r="26" spans="1:2" x14ac:dyDescent="0.25">
      <c r="B26" s="120" t="s">
        <v>164</v>
      </c>
    </row>
    <row r="28" spans="1:2" x14ac:dyDescent="0.25">
      <c r="B28" s="120" t="s">
        <v>165</v>
      </c>
    </row>
    <row r="29" spans="1:2" x14ac:dyDescent="0.25">
      <c r="B29" s="120" t="s">
        <v>166</v>
      </c>
    </row>
    <row r="31" spans="1:2" x14ac:dyDescent="0.25">
      <c r="B31" s="120" t="s">
        <v>167</v>
      </c>
    </row>
    <row r="32" spans="1:2" ht="13" x14ac:dyDescent="0.3">
      <c r="A32" s="635" t="str">
        <f>A8</f>
        <v>Income</v>
      </c>
    </row>
    <row r="33" spans="1:8" x14ac:dyDescent="0.25">
      <c r="A33" s="120" t="s">
        <v>168</v>
      </c>
    </row>
    <row r="35" spans="1:8" x14ac:dyDescent="0.25">
      <c r="B35" s="120" t="s">
        <v>169</v>
      </c>
    </row>
    <row r="36" spans="1:8" x14ac:dyDescent="0.25">
      <c r="B36" s="120" t="s">
        <v>170</v>
      </c>
    </row>
    <row r="38" spans="1:8" x14ac:dyDescent="0.25">
      <c r="B38" s="120" t="s">
        <v>171</v>
      </c>
    </row>
    <row r="39" spans="1:8" x14ac:dyDescent="0.25">
      <c r="B39" s="120" t="s">
        <v>172</v>
      </c>
    </row>
    <row r="41" spans="1:8" x14ac:dyDescent="0.25">
      <c r="B41" s="120" t="s">
        <v>173</v>
      </c>
    </row>
    <row r="43" spans="1:8" ht="13" x14ac:dyDescent="0.3">
      <c r="A43" s="157" t="s">
        <v>174</v>
      </c>
      <c r="B43" s="158"/>
      <c r="C43" s="158"/>
      <c r="D43" s="158"/>
      <c r="E43" s="158"/>
      <c r="F43" s="158"/>
      <c r="G43" s="158"/>
      <c r="H43" s="159"/>
    </row>
    <row r="45" spans="1:8" ht="13" x14ac:dyDescent="0.3">
      <c r="A45" s="156" t="s">
        <v>175</v>
      </c>
    </row>
    <row r="46" spans="1:8" x14ac:dyDescent="0.25">
      <c r="A46" s="120" t="s">
        <v>176</v>
      </c>
    </row>
    <row r="48" spans="1:8" x14ac:dyDescent="0.25">
      <c r="A48" s="120" t="s">
        <v>177</v>
      </c>
    </row>
    <row r="50" spans="1:1" x14ac:dyDescent="0.25">
      <c r="A50" s="120" t="s">
        <v>178</v>
      </c>
    </row>
    <row r="52" spans="1:1" ht="13" x14ac:dyDescent="0.3">
      <c r="A52" s="635" t="s">
        <v>179</v>
      </c>
    </row>
    <row r="53" spans="1:1" x14ac:dyDescent="0.25">
      <c r="A53" s="120" t="s">
        <v>180</v>
      </c>
    </row>
    <row r="55" spans="1:1" ht="13" x14ac:dyDescent="0.3">
      <c r="A55" s="156" t="s">
        <v>181</v>
      </c>
    </row>
    <row r="56" spans="1:1" x14ac:dyDescent="0.25">
      <c r="A56" s="120" t="s">
        <v>182</v>
      </c>
    </row>
    <row r="57" spans="1:1" x14ac:dyDescent="0.25">
      <c r="A57" s="120" t="s">
        <v>183</v>
      </c>
    </row>
    <row r="59" spans="1:1" x14ac:dyDescent="0.25">
      <c r="A59" s="120" t="s">
        <v>184</v>
      </c>
    </row>
    <row r="60" spans="1:1" x14ac:dyDescent="0.25">
      <c r="A60" s="120" t="s">
        <v>185</v>
      </c>
    </row>
    <row r="62" spans="1:1" x14ac:dyDescent="0.25">
      <c r="A62" s="120" t="s">
        <v>186</v>
      </c>
    </row>
    <row r="64" spans="1:1" x14ac:dyDescent="0.25">
      <c r="A64" s="120" t="s">
        <v>187</v>
      </c>
    </row>
    <row r="66" spans="1:8" ht="13" x14ac:dyDescent="0.3">
      <c r="A66" s="635" t="s">
        <v>188</v>
      </c>
    </row>
    <row r="67" spans="1:8" x14ac:dyDescent="0.25">
      <c r="A67" s="120" t="s">
        <v>189</v>
      </c>
    </row>
    <row r="69" spans="1:8" ht="13" x14ac:dyDescent="0.3">
      <c r="A69" s="157" t="s">
        <v>92</v>
      </c>
      <c r="B69" s="158"/>
      <c r="C69" s="158"/>
      <c r="D69" s="158"/>
      <c r="E69" s="158"/>
      <c r="F69" s="158"/>
      <c r="G69" s="158"/>
      <c r="H69" s="159"/>
    </row>
    <row r="71" spans="1:8" ht="13" x14ac:dyDescent="0.3">
      <c r="A71" s="156" t="s">
        <v>152</v>
      </c>
    </row>
    <row r="72" spans="1:8" x14ac:dyDescent="0.25">
      <c r="A72" s="120" t="s">
        <v>190</v>
      </c>
    </row>
    <row r="74" spans="1:8" x14ac:dyDescent="0.25">
      <c r="B74" s="120" t="s">
        <v>191</v>
      </c>
    </row>
    <row r="75" spans="1:8" x14ac:dyDescent="0.25">
      <c r="B75" s="120" t="s">
        <v>192</v>
      </c>
    </row>
    <row r="77" spans="1:8" x14ac:dyDescent="0.25">
      <c r="B77" s="120" t="s">
        <v>193</v>
      </c>
    </row>
    <row r="79" spans="1:8" x14ac:dyDescent="0.25">
      <c r="B79" s="120" t="s">
        <v>194</v>
      </c>
    </row>
    <row r="81" spans="1:8" x14ac:dyDescent="0.25">
      <c r="B81" s="120" t="s">
        <v>195</v>
      </c>
    </row>
    <row r="82" spans="1:8" x14ac:dyDescent="0.25">
      <c r="B82" s="120" t="s">
        <v>196</v>
      </c>
    </row>
    <row r="84" spans="1:8" ht="13" x14ac:dyDescent="0.3">
      <c r="A84" s="635" t="str">
        <f>A32</f>
        <v>Income</v>
      </c>
    </row>
    <row r="85" spans="1:8" x14ac:dyDescent="0.25">
      <c r="A85" s="120" t="s">
        <v>197</v>
      </c>
    </row>
    <row r="87" spans="1:8" x14ac:dyDescent="0.25">
      <c r="A87" s="120" t="s">
        <v>198</v>
      </c>
    </row>
    <row r="88" spans="1:8" x14ac:dyDescent="0.25">
      <c r="A88" s="120" t="s">
        <v>199</v>
      </c>
    </row>
    <row r="90" spans="1:8" x14ac:dyDescent="0.25">
      <c r="A90" s="120" t="s">
        <v>200</v>
      </c>
    </row>
    <row r="92" spans="1:8" ht="13" x14ac:dyDescent="0.3">
      <c r="A92" s="157" t="s">
        <v>201</v>
      </c>
      <c r="B92" s="158"/>
      <c r="C92" s="158"/>
      <c r="D92" s="158"/>
      <c r="E92" s="158"/>
      <c r="F92" s="158"/>
      <c r="G92" s="158"/>
      <c r="H92" s="159"/>
    </row>
    <row r="94" spans="1:8" ht="13" x14ac:dyDescent="0.3">
      <c r="A94" s="156" t="str">
        <f>A71</f>
        <v>Expenditure</v>
      </c>
    </row>
    <row r="95" spans="1:8" x14ac:dyDescent="0.25">
      <c r="A95" s="120" t="s">
        <v>190</v>
      </c>
    </row>
    <row r="97" spans="1:8" x14ac:dyDescent="0.25">
      <c r="A97" s="120" t="s">
        <v>202</v>
      </c>
    </row>
    <row r="98" spans="1:8" x14ac:dyDescent="0.25">
      <c r="A98" s="120" t="s">
        <v>203</v>
      </c>
    </row>
    <row r="100" spans="1:8" x14ac:dyDescent="0.25">
      <c r="A100" s="120" t="s">
        <v>204</v>
      </c>
    </row>
    <row r="102" spans="1:8" ht="13" x14ac:dyDescent="0.3">
      <c r="A102" s="635" t="str">
        <f>A84</f>
        <v>Income</v>
      </c>
    </row>
    <row r="103" spans="1:8" x14ac:dyDescent="0.25">
      <c r="A103" s="120" t="s">
        <v>189</v>
      </c>
    </row>
    <row r="105" spans="1:8" ht="13" x14ac:dyDescent="0.3">
      <c r="A105" s="157" t="s">
        <v>205</v>
      </c>
      <c r="B105" s="158"/>
      <c r="C105" s="158"/>
      <c r="D105" s="158"/>
      <c r="E105" s="158"/>
      <c r="F105" s="158"/>
      <c r="G105" s="158"/>
      <c r="H105" s="159"/>
    </row>
    <row r="107" spans="1:8" ht="13" x14ac:dyDescent="0.3">
      <c r="A107" s="156" t="s">
        <v>152</v>
      </c>
    </row>
    <row r="108" spans="1:8" x14ac:dyDescent="0.25">
      <c r="A108" s="120" t="s">
        <v>190</v>
      </c>
    </row>
    <row r="110" spans="1:8" x14ac:dyDescent="0.25">
      <c r="B110" s="120" t="s">
        <v>206</v>
      </c>
    </row>
    <row r="112" spans="1:8" x14ac:dyDescent="0.25">
      <c r="B112" s="120" t="s">
        <v>207</v>
      </c>
    </row>
    <row r="113" spans="1:8" x14ac:dyDescent="0.25">
      <c r="B113" s="120" t="s">
        <v>208</v>
      </c>
    </row>
    <row r="115" spans="1:8" x14ac:dyDescent="0.25">
      <c r="B115" s="120" t="s">
        <v>209</v>
      </c>
    </row>
    <row r="117" spans="1:8" ht="13" x14ac:dyDescent="0.3">
      <c r="A117" s="635" t="s">
        <v>57</v>
      </c>
    </row>
    <row r="118" spans="1:8" x14ac:dyDescent="0.25">
      <c r="A118" s="120" t="s">
        <v>189</v>
      </c>
    </row>
    <row r="120" spans="1:8" ht="13" x14ac:dyDescent="0.3">
      <c r="A120" s="157" t="s">
        <v>94</v>
      </c>
      <c r="B120" s="158"/>
      <c r="C120" s="158"/>
      <c r="D120" s="158"/>
      <c r="E120" s="158"/>
      <c r="F120" s="158"/>
      <c r="G120" s="158"/>
      <c r="H120" s="159"/>
    </row>
    <row r="122" spans="1:8" ht="13" x14ac:dyDescent="0.3">
      <c r="A122" s="156" t="s">
        <v>152</v>
      </c>
    </row>
    <row r="123" spans="1:8" x14ac:dyDescent="0.25">
      <c r="A123" s="120" t="s">
        <v>190</v>
      </c>
    </row>
    <row r="125" spans="1:8" x14ac:dyDescent="0.25">
      <c r="B125" s="120" t="s">
        <v>210</v>
      </c>
    </row>
    <row r="126" spans="1:8" x14ac:dyDescent="0.25">
      <c r="B126" s="120" t="s">
        <v>211</v>
      </c>
    </row>
    <row r="128" spans="1:8" ht="13" x14ac:dyDescent="0.3">
      <c r="A128" s="157" t="s">
        <v>96</v>
      </c>
      <c r="B128" s="158"/>
      <c r="C128" s="158"/>
      <c r="D128" s="158"/>
      <c r="E128" s="158"/>
      <c r="F128" s="158"/>
      <c r="G128" s="158"/>
      <c r="H128" s="159"/>
    </row>
    <row r="130" spans="1:2" ht="13" x14ac:dyDescent="0.3">
      <c r="A130" s="156" t="str">
        <f>A122</f>
        <v>Expenditure</v>
      </c>
    </row>
    <row r="131" spans="1:2" x14ac:dyDescent="0.25">
      <c r="A131" s="636" t="s">
        <v>190</v>
      </c>
    </row>
    <row r="132" spans="1:2" x14ac:dyDescent="0.25">
      <c r="A132" s="636"/>
    </row>
    <row r="133" spans="1:2" x14ac:dyDescent="0.25">
      <c r="B133" s="120" t="s">
        <v>212</v>
      </c>
    </row>
    <row r="134" spans="1:2" x14ac:dyDescent="0.25">
      <c r="B134" s="120" t="s">
        <v>213</v>
      </c>
    </row>
    <row r="136" spans="1:2" ht="13" x14ac:dyDescent="0.3">
      <c r="A136" s="635" t="s">
        <v>57</v>
      </c>
    </row>
    <row r="137" spans="1:2" x14ac:dyDescent="0.25">
      <c r="A137" s="120" t="s">
        <v>189</v>
      </c>
    </row>
  </sheetData>
  <phoneticPr fontId="56" type="noConversion"/>
  <pageMargins left="0.70866141732283472" right="0.70866141732283472" top="0.74803149606299213" bottom="0.74803149606299213" header="0.31496062992125984" footer="0.31496062992125984"/>
  <pageSetup paperSize="9" scale="63" orientation="portrait" r:id="rId1"/>
  <rowBreaks count="1" manualBreakCount="1">
    <brk id="91"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39"/>
  <sheetViews>
    <sheetView workbookViewId="0"/>
  </sheetViews>
  <sheetFormatPr defaultColWidth="9.296875" defaultRowHeight="12.5" x14ac:dyDescent="0.25"/>
  <cols>
    <col min="1" max="16384" width="9.296875" style="120"/>
  </cols>
  <sheetData>
    <row r="1" spans="1:21" ht="15.5" x14ac:dyDescent="0.35">
      <c r="A1" s="75" t="s">
        <v>214</v>
      </c>
    </row>
    <row r="3" spans="1:21" ht="13" x14ac:dyDescent="0.3">
      <c r="A3" s="121" t="s">
        <v>157</v>
      </c>
    </row>
    <row r="4" spans="1:21" x14ac:dyDescent="0.25">
      <c r="A4" s="120" t="s">
        <v>215</v>
      </c>
    </row>
    <row r="5" spans="1:21" s="160" customFormat="1" x14ac:dyDescent="0.25"/>
    <row r="6" spans="1:21" ht="13" x14ac:dyDescent="0.3">
      <c r="A6" s="121" t="s">
        <v>216</v>
      </c>
    </row>
    <row r="7" spans="1:21" x14ac:dyDescent="0.25">
      <c r="A7" s="120" t="s">
        <v>217</v>
      </c>
    </row>
    <row r="8" spans="1:21" x14ac:dyDescent="0.25">
      <c r="A8" s="120" t="s">
        <v>218</v>
      </c>
    </row>
    <row r="9" spans="1:21" x14ac:dyDescent="0.25">
      <c r="A9" s="120" t="s">
        <v>219</v>
      </c>
    </row>
    <row r="10" spans="1:21" x14ac:dyDescent="0.25">
      <c r="A10" s="744" t="s">
        <v>220</v>
      </c>
      <c r="B10" s="744"/>
      <c r="C10" s="744"/>
      <c r="D10" s="744"/>
      <c r="E10" s="744"/>
      <c r="F10" s="744"/>
      <c r="G10" s="744"/>
      <c r="H10" s="744"/>
      <c r="I10" s="744"/>
      <c r="J10" s="744"/>
      <c r="K10" s="744"/>
      <c r="L10" s="744"/>
      <c r="M10" s="744"/>
      <c r="N10" s="744"/>
      <c r="O10" s="744"/>
      <c r="P10" s="744"/>
      <c r="Q10" s="744"/>
      <c r="R10" s="744"/>
      <c r="S10" s="744"/>
      <c r="T10" s="744"/>
      <c r="U10" s="744"/>
    </row>
    <row r="11" spans="1:21" x14ac:dyDescent="0.25">
      <c r="A11" s="120" t="s">
        <v>221</v>
      </c>
    </row>
    <row r="12" spans="1:21" s="160" customFormat="1" x14ac:dyDescent="0.25"/>
    <row r="13" spans="1:21" ht="13" x14ac:dyDescent="0.3">
      <c r="A13" s="121" t="s">
        <v>222</v>
      </c>
    </row>
    <row r="14" spans="1:21" x14ac:dyDescent="0.25">
      <c r="A14" s="120" t="s">
        <v>223</v>
      </c>
    </row>
    <row r="15" spans="1:21" x14ac:dyDescent="0.25">
      <c r="A15" s="120" t="s">
        <v>224</v>
      </c>
    </row>
    <row r="16" spans="1:21" x14ac:dyDescent="0.25">
      <c r="A16" s="120" t="s">
        <v>225</v>
      </c>
    </row>
    <row r="17" spans="1:11" x14ac:dyDescent="0.25">
      <c r="A17" s="120" t="s">
        <v>226</v>
      </c>
    </row>
    <row r="18" spans="1:11" x14ac:dyDescent="0.25">
      <c r="A18" s="161" t="s">
        <v>227</v>
      </c>
    </row>
    <row r="19" spans="1:11" x14ac:dyDescent="0.25">
      <c r="K19" s="120" t="s">
        <v>228</v>
      </c>
    </row>
    <row r="20" spans="1:11" x14ac:dyDescent="0.25">
      <c r="A20" s="120" t="s">
        <v>229</v>
      </c>
    </row>
    <row r="21" spans="1:11" s="160" customFormat="1" x14ac:dyDescent="0.25"/>
    <row r="22" spans="1:11" ht="13" x14ac:dyDescent="0.3">
      <c r="A22" s="121" t="s">
        <v>201</v>
      </c>
    </row>
    <row r="23" spans="1:11" x14ac:dyDescent="0.25">
      <c r="A23" s="120" t="s">
        <v>230</v>
      </c>
    </row>
    <row r="24" spans="1:11" s="160" customFormat="1" x14ac:dyDescent="0.25"/>
    <row r="25" spans="1:11" ht="13" x14ac:dyDescent="0.3">
      <c r="A25" s="121" t="s">
        <v>205</v>
      </c>
    </row>
    <row r="26" spans="1:11" x14ac:dyDescent="0.25">
      <c r="A26" s="120" t="s">
        <v>231</v>
      </c>
    </row>
    <row r="27" spans="1:11" x14ac:dyDescent="0.25">
      <c r="A27" s="120" t="s">
        <v>232</v>
      </c>
    </row>
    <row r="28" spans="1:11" x14ac:dyDescent="0.25">
      <c r="A28" s="120" t="s">
        <v>233</v>
      </c>
    </row>
    <row r="29" spans="1:11" x14ac:dyDescent="0.25">
      <c r="A29" s="120" t="s">
        <v>234</v>
      </c>
    </row>
    <row r="30" spans="1:11" x14ac:dyDescent="0.25">
      <c r="B30" s="120" t="s">
        <v>235</v>
      </c>
    </row>
    <row r="31" spans="1:11" x14ac:dyDescent="0.25">
      <c r="A31" s="120" t="s">
        <v>236</v>
      </c>
    </row>
    <row r="32" spans="1:11" s="160" customFormat="1" x14ac:dyDescent="0.25"/>
    <row r="33" spans="1:1" ht="13" x14ac:dyDescent="0.3">
      <c r="A33" s="121" t="s">
        <v>94</v>
      </c>
    </row>
    <row r="34" spans="1:1" x14ac:dyDescent="0.25">
      <c r="A34" s="120" t="s">
        <v>237</v>
      </c>
    </row>
    <row r="35" spans="1:1" s="160" customFormat="1" x14ac:dyDescent="0.25"/>
    <row r="36" spans="1:1" ht="13" x14ac:dyDescent="0.3">
      <c r="A36" s="121" t="s">
        <v>96</v>
      </c>
    </row>
    <row r="37" spans="1:1" x14ac:dyDescent="0.25">
      <c r="A37" s="120" t="s">
        <v>238</v>
      </c>
    </row>
    <row r="38" spans="1:1" x14ac:dyDescent="0.25">
      <c r="A38" s="120" t="s">
        <v>239</v>
      </c>
    </row>
    <row r="39" spans="1:1" s="160" customFormat="1" x14ac:dyDescent="0.25"/>
  </sheetData>
  <mergeCells count="1">
    <mergeCell ref="A10:U10"/>
  </mergeCells>
  <phoneticPr fontId="56" type="noConversion"/>
  <pageMargins left="0.70866141732283472" right="0.70866141732283472" top="0.74803149606299213" bottom="0.74803149606299213" header="0.31496062992125984" footer="0.31496062992125984"/>
  <pageSetup paperSize="9" scale="7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G38"/>
  <sheetViews>
    <sheetView zoomScaleNormal="100" workbookViewId="0">
      <selection activeCell="J16" sqref="J16"/>
    </sheetView>
  </sheetViews>
  <sheetFormatPr defaultColWidth="9.296875" defaultRowHeight="13" x14ac:dyDescent="0.3"/>
  <cols>
    <col min="1" max="1" width="61.796875" style="141" customWidth="1"/>
    <col min="2" max="2" width="12.296875" style="141" customWidth="1"/>
    <col min="3" max="3" width="4.296875" style="141" customWidth="1"/>
    <col min="4" max="4" width="11.296875" style="141" bestFit="1" customWidth="1"/>
    <col min="5" max="5" width="12.296875" style="141" customWidth="1"/>
    <col min="6" max="6" width="4.5" style="141" customWidth="1"/>
    <col min="7" max="7" width="12.296875" style="141" customWidth="1"/>
    <col min="8" max="16384" width="9.296875" style="141"/>
  </cols>
  <sheetData>
    <row r="1" spans="1:7" ht="15" x14ac:dyDescent="0.3">
      <c r="A1" s="517" t="s">
        <v>240</v>
      </c>
    </row>
    <row r="3" spans="1:7" hidden="1" x14ac:dyDescent="0.3"/>
    <row r="5" spans="1:7" ht="15" x14ac:dyDescent="0.3">
      <c r="B5" s="518" t="s">
        <v>241</v>
      </c>
      <c r="C5" s="517"/>
      <c r="D5" s="745" t="s">
        <v>242</v>
      </c>
      <c r="E5" s="745"/>
      <c r="G5" s="517" t="s">
        <v>243</v>
      </c>
    </row>
    <row r="6" spans="1:7" ht="15.5" x14ac:dyDescent="0.35">
      <c r="A6" s="1"/>
      <c r="B6" s="518" t="s">
        <v>41</v>
      </c>
      <c r="C6" s="518"/>
      <c r="D6" s="518" t="s">
        <v>41</v>
      </c>
      <c r="E6" s="518" t="s">
        <v>41</v>
      </c>
      <c r="F6" s="1"/>
      <c r="G6" s="518" t="s">
        <v>41</v>
      </c>
    </row>
    <row r="7" spans="1:7" ht="15.5" x14ac:dyDescent="0.35">
      <c r="A7" s="1"/>
      <c r="B7" s="1"/>
      <c r="C7" s="1"/>
      <c r="D7" s="1"/>
      <c r="E7" s="1"/>
      <c r="F7" s="1"/>
      <c r="G7" s="1"/>
    </row>
    <row r="8" spans="1:7" ht="15.5" x14ac:dyDescent="0.35">
      <c r="A8" s="1" t="s">
        <v>244</v>
      </c>
      <c r="B8" s="519">
        <f>223915</f>
        <v>223915</v>
      </c>
      <c r="C8" s="519"/>
      <c r="D8" s="519"/>
      <c r="E8" s="519">
        <f>427893+284718</f>
        <v>712611</v>
      </c>
      <c r="F8" s="1"/>
      <c r="G8" s="1"/>
    </row>
    <row r="9" spans="1:7" ht="15.5" x14ac:dyDescent="0.35">
      <c r="A9" s="1" t="s">
        <v>245</v>
      </c>
      <c r="B9" s="520">
        <v>124693</v>
      </c>
      <c r="C9" s="519"/>
      <c r="D9" s="519"/>
      <c r="E9" s="520">
        <f>28577+96116</f>
        <v>124693</v>
      </c>
      <c r="F9" s="1"/>
      <c r="G9" s="1"/>
    </row>
    <row r="10" spans="1:7" ht="15.5" x14ac:dyDescent="0.35">
      <c r="A10" s="1"/>
      <c r="B10" s="519">
        <f>SUM(B8:B9)</f>
        <v>348608</v>
      </c>
      <c r="C10" s="519"/>
      <c r="D10" s="519"/>
      <c r="E10" s="519">
        <f>SUM(E8:E9)</f>
        <v>837304</v>
      </c>
      <c r="F10" s="1"/>
      <c r="G10" s="519">
        <f>B10-E10</f>
        <v>-488696</v>
      </c>
    </row>
    <row r="11" spans="1:7" ht="15.5" x14ac:dyDescent="0.35">
      <c r="A11" s="1"/>
      <c r="B11" s="519"/>
      <c r="C11" s="519"/>
      <c r="D11" s="519"/>
      <c r="E11" s="519"/>
      <c r="F11" s="1"/>
      <c r="G11" s="1"/>
    </row>
    <row r="12" spans="1:7" ht="15.5" x14ac:dyDescent="0.35">
      <c r="A12" s="1" t="s">
        <v>246</v>
      </c>
      <c r="B12" s="520"/>
      <c r="C12" s="519"/>
      <c r="D12" s="519"/>
      <c r="E12" s="520">
        <v>56271</v>
      </c>
      <c r="F12" s="1"/>
      <c r="G12" s="1"/>
    </row>
    <row r="13" spans="1:7" ht="15.5" x14ac:dyDescent="0.35">
      <c r="A13" s="1"/>
      <c r="B13" s="519">
        <f>SUM(B10:B12)</f>
        <v>348608</v>
      </c>
      <c r="C13" s="519"/>
      <c r="D13" s="519"/>
      <c r="E13" s="519">
        <f>SUM(E10:E12)</f>
        <v>893575</v>
      </c>
      <c r="F13" s="1"/>
      <c r="G13" s="519">
        <f>B13-E13</f>
        <v>-544967</v>
      </c>
    </row>
    <row r="14" spans="1:7" ht="15.5" x14ac:dyDescent="0.35">
      <c r="A14" s="1"/>
      <c r="B14" s="519"/>
      <c r="C14" s="519"/>
      <c r="D14" s="519"/>
      <c r="E14" s="519"/>
      <c r="F14" s="1"/>
      <c r="G14" s="1"/>
    </row>
    <row r="15" spans="1:7" ht="15.5" x14ac:dyDescent="0.35">
      <c r="A15" s="517" t="s">
        <v>247</v>
      </c>
      <c r="B15" s="519"/>
      <c r="C15" s="519"/>
      <c r="D15" s="519"/>
      <c r="E15" s="519"/>
      <c r="F15" s="1"/>
      <c r="G15" s="1"/>
    </row>
    <row r="16" spans="1:7" ht="15.5" x14ac:dyDescent="0.35">
      <c r="A16" s="1" t="s">
        <v>248</v>
      </c>
      <c r="B16" s="519"/>
      <c r="C16" s="519"/>
      <c r="D16" s="519">
        <v>-34000</v>
      </c>
      <c r="E16" s="519"/>
      <c r="F16" s="1"/>
      <c r="G16" s="1"/>
    </row>
    <row r="17" spans="1:7" ht="15.5" x14ac:dyDescent="0.35">
      <c r="A17" s="1" t="s">
        <v>249</v>
      </c>
      <c r="B17" s="520"/>
      <c r="C17" s="519"/>
      <c r="D17" s="520">
        <v>-181</v>
      </c>
      <c r="E17" s="520">
        <f>SUM(D16:D17)</f>
        <v>-34181</v>
      </c>
      <c r="F17" s="1"/>
      <c r="G17" s="1"/>
    </row>
    <row r="18" spans="1:7" ht="15.5" x14ac:dyDescent="0.35">
      <c r="A18" s="1"/>
      <c r="B18" s="519">
        <f>SUM(B13:B17)</f>
        <v>348608</v>
      </c>
      <c r="C18" s="519"/>
      <c r="D18" s="519"/>
      <c r="E18" s="519">
        <f>SUM(E13:E17)</f>
        <v>859394</v>
      </c>
      <c r="F18" s="1"/>
      <c r="G18" s="519">
        <f>B18-E18</f>
        <v>-510786</v>
      </c>
    </row>
    <row r="19" spans="1:7" ht="15.5" x14ac:dyDescent="0.35">
      <c r="A19" s="1"/>
      <c r="B19" s="519"/>
      <c r="C19" s="519"/>
      <c r="D19" s="519"/>
      <c r="E19" s="519"/>
      <c r="F19" s="1"/>
      <c r="G19" s="1"/>
    </row>
    <row r="20" spans="1:7" ht="15.5" x14ac:dyDescent="0.35">
      <c r="A20" s="517" t="s">
        <v>250</v>
      </c>
      <c r="B20" s="519"/>
      <c r="C20" s="519"/>
      <c r="D20" s="519"/>
      <c r="E20" s="519"/>
      <c r="F20" s="1"/>
      <c r="G20" s="1"/>
    </row>
    <row r="21" spans="1:7" ht="15.5" x14ac:dyDescent="0.35">
      <c r="A21" s="1" t="s">
        <v>251</v>
      </c>
      <c r="B21" s="520"/>
      <c r="C21" s="519"/>
      <c r="D21" s="519"/>
      <c r="E21" s="520">
        <v>-10786</v>
      </c>
      <c r="F21" s="1"/>
      <c r="G21" s="1"/>
    </row>
    <row r="22" spans="1:7" ht="15.5" x14ac:dyDescent="0.35">
      <c r="A22" s="1"/>
      <c r="B22" s="519">
        <f>SUM(B18:B21)</f>
        <v>348608</v>
      </c>
      <c r="C22" s="519"/>
      <c r="D22" s="519"/>
      <c r="E22" s="519">
        <f>SUM(E18:E21)</f>
        <v>848608</v>
      </c>
      <c r="F22" s="1"/>
      <c r="G22" s="519">
        <f>B22-E22</f>
        <v>-500000</v>
      </c>
    </row>
    <row r="23" spans="1:7" ht="15.5" x14ac:dyDescent="0.35">
      <c r="A23" s="1"/>
      <c r="B23" s="519"/>
      <c r="C23" s="519"/>
      <c r="D23" s="519"/>
      <c r="E23" s="519"/>
      <c r="F23" s="1"/>
      <c r="G23" s="1"/>
    </row>
    <row r="24" spans="1:7" ht="15.5" x14ac:dyDescent="0.35">
      <c r="A24" s="517" t="s">
        <v>252</v>
      </c>
      <c r="B24" s="519"/>
      <c r="C24" s="519"/>
      <c r="D24" s="519"/>
      <c r="E24" s="519"/>
      <c r="F24" s="1"/>
      <c r="G24" s="1"/>
    </row>
    <row r="25" spans="1:7" ht="15.5" x14ac:dyDescent="0.35">
      <c r="A25" s="1" t="s">
        <v>253</v>
      </c>
      <c r="B25" s="519"/>
      <c r="C25" s="519"/>
      <c r="D25" s="519"/>
      <c r="E25" s="519"/>
      <c r="F25" s="1"/>
      <c r="G25" s="1"/>
    </row>
    <row r="26" spans="1:7" ht="15.5" x14ac:dyDescent="0.35">
      <c r="A26" s="1" t="s">
        <v>254</v>
      </c>
      <c r="B26" s="519">
        <v>400000</v>
      </c>
      <c r="C26" s="519"/>
      <c r="D26" s="519"/>
      <c r="E26" s="519"/>
      <c r="F26" s="1"/>
      <c r="G26" s="1"/>
    </row>
    <row r="27" spans="1:7" ht="15.5" x14ac:dyDescent="0.35">
      <c r="A27" s="1" t="s">
        <v>255</v>
      </c>
      <c r="B27" s="520"/>
      <c r="C27" s="519"/>
      <c r="D27" s="519"/>
      <c r="E27" s="520">
        <v>-100000</v>
      </c>
      <c r="F27" s="1"/>
      <c r="G27" s="1"/>
    </row>
    <row r="28" spans="1:7" ht="16" thickBot="1" x14ac:dyDescent="0.4">
      <c r="A28" s="1"/>
      <c r="B28" s="521">
        <f>SUM(B22:B27)</f>
        <v>748608</v>
      </c>
      <c r="C28" s="519"/>
      <c r="D28" s="519"/>
      <c r="E28" s="521">
        <f>SUM(E22:E27)</f>
        <v>748608</v>
      </c>
      <c r="F28" s="1"/>
      <c r="G28" s="519">
        <f>B28-E28</f>
        <v>0</v>
      </c>
    </row>
    <row r="29" spans="1:7" ht="16" thickTop="1" x14ac:dyDescent="0.35">
      <c r="A29" s="1"/>
      <c r="B29" s="519"/>
      <c r="C29" s="519"/>
      <c r="D29" s="519"/>
      <c r="E29" s="519"/>
      <c r="F29" s="1"/>
      <c r="G29" s="1"/>
    </row>
    <row r="30" spans="1:7" ht="15.5" x14ac:dyDescent="0.35">
      <c r="A30" s="1"/>
      <c r="B30" s="519"/>
      <c r="C30" s="519"/>
      <c r="D30" s="519"/>
      <c r="E30" s="519"/>
      <c r="F30" s="1"/>
      <c r="G30" s="1"/>
    </row>
    <row r="31" spans="1:7" ht="15.5" x14ac:dyDescent="0.35">
      <c r="A31" s="1"/>
      <c r="B31" s="519"/>
      <c r="C31" s="519"/>
      <c r="D31" s="519"/>
      <c r="E31" s="519"/>
      <c r="F31" s="1"/>
      <c r="G31" s="1"/>
    </row>
    <row r="32" spans="1:7" ht="15.5" x14ac:dyDescent="0.35">
      <c r="A32" s="1"/>
      <c r="B32" s="519"/>
      <c r="C32" s="519"/>
      <c r="D32" s="519"/>
      <c r="E32" s="519"/>
      <c r="F32" s="1"/>
      <c r="G32" s="1"/>
    </row>
    <row r="33" spans="1:7" ht="15.5" x14ac:dyDescent="0.35">
      <c r="A33" s="1"/>
      <c r="B33" s="519"/>
      <c r="C33" s="519"/>
      <c r="D33" s="519"/>
      <c r="E33" s="519"/>
      <c r="F33" s="1"/>
      <c r="G33" s="1"/>
    </row>
    <row r="34" spans="1:7" ht="15.5" x14ac:dyDescent="0.35">
      <c r="A34" s="1"/>
      <c r="B34" s="519"/>
      <c r="C34" s="519"/>
      <c r="D34" s="519"/>
      <c r="E34" s="519"/>
      <c r="F34" s="1"/>
      <c r="G34" s="1"/>
    </row>
    <row r="35" spans="1:7" x14ac:dyDescent="0.3">
      <c r="B35" s="481"/>
      <c r="C35" s="481"/>
      <c r="D35" s="481"/>
      <c r="E35" s="481"/>
    </row>
    <row r="36" spans="1:7" x14ac:dyDescent="0.3">
      <c r="B36" s="481"/>
      <c r="C36" s="481"/>
      <c r="D36" s="481"/>
      <c r="E36" s="481"/>
    </row>
    <row r="37" spans="1:7" x14ac:dyDescent="0.3">
      <c r="B37" s="481"/>
      <c r="C37" s="481"/>
      <c r="D37" s="481"/>
      <c r="E37" s="481"/>
    </row>
    <row r="38" spans="1:7" x14ac:dyDescent="0.3">
      <c r="B38" s="481"/>
      <c r="C38" s="481"/>
      <c r="D38" s="481"/>
      <c r="E38" s="481"/>
    </row>
  </sheetData>
  <mergeCells count="1">
    <mergeCell ref="D5:E5"/>
  </mergeCells>
  <phoneticPr fontId="93" type="noConversion"/>
  <printOptions horizontalCentered="1"/>
  <pageMargins left="0.70866141732283472" right="0.70866141732283472" top="0.74803149606299213" bottom="0.74803149606299213" header="0.31496062992125984" footer="0.31496062992125984"/>
  <pageSetup paperSize="9" orientation="landscape" r:id="rId1"/>
  <headerFooter alignWithMargins="0">
    <oddFooter>&amp;C&amp;9Page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E25"/>
  <sheetViews>
    <sheetView view="pageBreakPreview" zoomScale="85" zoomScaleNormal="100" zoomScaleSheetLayoutView="85" workbookViewId="0">
      <selection activeCell="G24" sqref="G24"/>
    </sheetView>
  </sheetViews>
  <sheetFormatPr defaultRowHeight="13" x14ac:dyDescent="0.3"/>
  <cols>
    <col min="1" max="1" width="58.5" customWidth="1"/>
    <col min="2" max="3" width="17.296875" customWidth="1"/>
    <col min="4" max="4" width="10.19921875" bestFit="1" customWidth="1"/>
    <col min="5" max="5" width="10.69921875" bestFit="1" customWidth="1"/>
  </cols>
  <sheetData>
    <row r="1" spans="1:5" ht="26.25" customHeight="1" x14ac:dyDescent="0.3">
      <c r="A1" s="746" t="s">
        <v>103</v>
      </c>
      <c r="B1" s="746"/>
      <c r="C1" s="746"/>
      <c r="D1" s="483"/>
      <c r="E1" s="483"/>
    </row>
    <row r="2" spans="1:5" ht="26.25" customHeight="1" x14ac:dyDescent="0.3">
      <c r="A2" s="423"/>
      <c r="B2" s="423"/>
      <c r="C2" s="423"/>
      <c r="D2" s="423"/>
      <c r="E2" s="423"/>
    </row>
    <row r="3" spans="1:5" ht="25.5" customHeight="1" x14ac:dyDescent="0.3">
      <c r="A3" s="746" t="s">
        <v>256</v>
      </c>
      <c r="B3" s="746"/>
      <c r="C3" s="746"/>
      <c r="D3" s="482"/>
      <c r="E3" s="482"/>
    </row>
    <row r="4" spans="1:5" x14ac:dyDescent="0.3">
      <c r="A4" s="423"/>
      <c r="B4" s="423"/>
      <c r="C4" s="423"/>
      <c r="D4" s="423"/>
      <c r="E4" s="423"/>
    </row>
    <row r="5" spans="1:5" x14ac:dyDescent="0.3">
      <c r="D5" s="422"/>
      <c r="E5" s="422"/>
    </row>
    <row r="6" spans="1:5" x14ac:dyDescent="0.3">
      <c r="B6" s="479" t="s">
        <v>257</v>
      </c>
      <c r="C6" s="479" t="s">
        <v>257</v>
      </c>
    </row>
    <row r="7" spans="1:5" x14ac:dyDescent="0.3">
      <c r="B7" s="487" t="s">
        <v>41</v>
      </c>
      <c r="C7" s="487" t="s">
        <v>41</v>
      </c>
    </row>
    <row r="8" spans="1:5" x14ac:dyDescent="0.3">
      <c r="B8" s="480"/>
      <c r="C8" s="480"/>
    </row>
    <row r="9" spans="1:5" x14ac:dyDescent="0.3">
      <c r="A9" s="141" t="s">
        <v>258</v>
      </c>
      <c r="B9" s="481">
        <v>250223</v>
      </c>
      <c r="C9" s="141"/>
    </row>
    <row r="10" spans="1:5" x14ac:dyDescent="0.3">
      <c r="A10" s="141" t="s">
        <v>259</v>
      </c>
      <c r="B10" s="481">
        <v>96116</v>
      </c>
      <c r="C10" s="481"/>
    </row>
    <row r="11" spans="1:5" x14ac:dyDescent="0.3">
      <c r="A11" s="141" t="s">
        <v>260</v>
      </c>
      <c r="B11" s="481"/>
      <c r="C11" s="481"/>
    </row>
    <row r="12" spans="1:5" x14ac:dyDescent="0.3">
      <c r="A12" s="478" t="s">
        <v>261</v>
      </c>
      <c r="B12" s="481">
        <v>15000</v>
      </c>
      <c r="C12" s="481"/>
    </row>
    <row r="13" spans="1:5" x14ac:dyDescent="0.3">
      <c r="A13" s="478" t="s">
        <v>262</v>
      </c>
      <c r="B13" s="484">
        <v>19495</v>
      </c>
      <c r="C13" s="481"/>
    </row>
    <row r="14" spans="1:5" x14ac:dyDescent="0.3">
      <c r="A14" s="141" t="s">
        <v>263</v>
      </c>
      <c r="B14" s="481"/>
      <c r="C14" s="481">
        <f>SUM(B9:B13)</f>
        <v>380834</v>
      </c>
    </row>
    <row r="15" spans="1:5" x14ac:dyDescent="0.3">
      <c r="A15" s="141" t="s">
        <v>264</v>
      </c>
      <c r="B15" s="141"/>
      <c r="C15" s="481">
        <f>427359+28577</f>
        <v>455936</v>
      </c>
    </row>
    <row r="16" spans="1:5" x14ac:dyDescent="0.3">
      <c r="A16" s="141" t="s">
        <v>265</v>
      </c>
      <c r="B16" s="141"/>
      <c r="C16" s="481">
        <v>56271</v>
      </c>
    </row>
    <row r="17" spans="1:4" x14ac:dyDescent="0.3">
      <c r="A17" s="141" t="s">
        <v>247</v>
      </c>
      <c r="B17" s="141"/>
      <c r="C17" s="481">
        <v>-34180.5</v>
      </c>
    </row>
    <row r="18" spans="1:4" x14ac:dyDescent="0.3">
      <c r="A18" s="141" t="s">
        <v>250</v>
      </c>
      <c r="B18" s="141"/>
      <c r="C18" s="481">
        <f>-510786.5+500000</f>
        <v>-10786.5</v>
      </c>
    </row>
    <row r="19" spans="1:4" x14ac:dyDescent="0.3">
      <c r="A19" s="141"/>
      <c r="B19" s="141"/>
      <c r="C19" s="485">
        <f>SUM(C10:C18)</f>
        <v>848074</v>
      </c>
    </row>
    <row r="20" spans="1:4" x14ac:dyDescent="0.3">
      <c r="A20" s="141"/>
      <c r="B20" s="141"/>
      <c r="C20" s="481"/>
    </row>
    <row r="21" spans="1:4" x14ac:dyDescent="0.3">
      <c r="A21" s="141" t="s">
        <v>266</v>
      </c>
      <c r="B21" s="141"/>
      <c r="C21" s="481">
        <f>124693+223915-534</f>
        <v>348074</v>
      </c>
      <c r="D21" t="s">
        <v>267</v>
      </c>
    </row>
    <row r="22" spans="1:4" x14ac:dyDescent="0.3">
      <c r="A22" s="141" t="s">
        <v>268</v>
      </c>
      <c r="B22" s="141"/>
      <c r="C22" s="484">
        <v>500000</v>
      </c>
    </row>
    <row r="23" spans="1:4" x14ac:dyDescent="0.3">
      <c r="A23" s="141"/>
      <c r="B23" s="141"/>
      <c r="C23" s="486">
        <f>SUM(C21:C22)</f>
        <v>848074</v>
      </c>
    </row>
    <row r="24" spans="1:4" x14ac:dyDescent="0.3">
      <c r="A24" s="141"/>
      <c r="B24" s="141"/>
      <c r="C24" s="486"/>
    </row>
    <row r="25" spans="1:4" x14ac:dyDescent="0.3">
      <c r="A25" s="141" t="s">
        <v>269</v>
      </c>
      <c r="B25" s="141"/>
      <c r="C25" s="486">
        <f>C19-C23</f>
        <v>0</v>
      </c>
    </row>
  </sheetData>
  <mergeCells count="2">
    <mergeCell ref="A1:C1"/>
    <mergeCell ref="A3:C3"/>
  </mergeCells>
  <phoneticPr fontId="93" type="noConversion"/>
  <printOptions horizontalCentered="1"/>
  <pageMargins left="0.70866141732283472" right="0.70866141732283472" top="0.74803149606299213" bottom="0.74803149606299213" header="0.31496062992125984" footer="0.31496062992125984"/>
  <pageSetup paperSize="9" scale="110" orientation="landscape" r:id="rId1"/>
  <headerFooter alignWithMargins="0">
    <oddFooter>&amp;C&amp;8Page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pageSetUpPr fitToPage="1"/>
  </sheetPr>
  <dimension ref="A1:J39"/>
  <sheetViews>
    <sheetView view="pageBreakPreview" topLeftCell="B7" zoomScale="60" zoomScaleNormal="70" workbookViewId="0">
      <selection activeCell="D40" sqref="D40"/>
    </sheetView>
  </sheetViews>
  <sheetFormatPr defaultRowHeight="13" x14ac:dyDescent="0.3"/>
  <cols>
    <col min="1" max="1" width="50.19921875" customWidth="1"/>
    <col min="2" max="2" width="30.69921875" customWidth="1"/>
    <col min="3" max="3" width="50" customWidth="1"/>
    <col min="4" max="4" width="45.296875" customWidth="1"/>
    <col min="5" max="5" width="21.296875" customWidth="1"/>
    <col min="6" max="6" width="14.296875" customWidth="1"/>
    <col min="7" max="7" width="25.5" customWidth="1"/>
    <col min="8" max="8" width="15.69921875" customWidth="1"/>
    <col min="9" max="9" width="19.5" customWidth="1"/>
    <col min="10" max="10" width="16.796875" customWidth="1"/>
  </cols>
  <sheetData>
    <row r="1" spans="1:10" ht="14.5" x14ac:dyDescent="0.35">
      <c r="A1" s="376" t="s">
        <v>270</v>
      </c>
      <c r="B1" s="376"/>
      <c r="C1" s="376"/>
      <c r="D1" s="375"/>
      <c r="E1" s="375"/>
      <c r="F1" s="375"/>
      <c r="G1" s="375"/>
      <c r="H1" s="375"/>
      <c r="I1" s="375"/>
      <c r="J1" s="375"/>
    </row>
    <row r="3" spans="1:10" ht="14.5" x14ac:dyDescent="0.3">
      <c r="A3" s="748" t="s">
        <v>271</v>
      </c>
      <c r="B3" s="749" t="s">
        <v>272</v>
      </c>
      <c r="C3" s="378" t="s">
        <v>273</v>
      </c>
      <c r="D3" s="748" t="s">
        <v>274</v>
      </c>
      <c r="E3" s="748" t="s">
        <v>275</v>
      </c>
      <c r="F3" s="748" t="s">
        <v>276</v>
      </c>
      <c r="G3" s="749" t="s">
        <v>277</v>
      </c>
      <c r="H3" s="748" t="s">
        <v>278</v>
      </c>
      <c r="I3" s="748"/>
      <c r="J3" s="748"/>
    </row>
    <row r="4" spans="1:10" ht="42.75" customHeight="1" x14ac:dyDescent="0.35">
      <c r="A4" s="748"/>
      <c r="B4" s="750"/>
      <c r="C4" s="379"/>
      <c r="D4" s="748"/>
      <c r="E4" s="748"/>
      <c r="F4" s="748"/>
      <c r="G4" s="750"/>
      <c r="H4" s="380" t="s">
        <v>279</v>
      </c>
      <c r="I4" s="384" t="s">
        <v>280</v>
      </c>
      <c r="J4" s="377" t="s">
        <v>281</v>
      </c>
    </row>
    <row r="5" spans="1:10" ht="14" x14ac:dyDescent="0.3">
      <c r="A5" s="381">
        <v>37410241</v>
      </c>
      <c r="B5" s="381" t="s">
        <v>282</v>
      </c>
      <c r="C5" s="381" t="s">
        <v>283</v>
      </c>
      <c r="D5" s="381" t="s">
        <v>114</v>
      </c>
      <c r="E5" s="383">
        <v>5946</v>
      </c>
      <c r="F5" s="382">
        <v>40749</v>
      </c>
      <c r="G5" s="381" t="s">
        <v>284</v>
      </c>
      <c r="H5" s="381"/>
      <c r="I5" s="381"/>
      <c r="J5" s="381"/>
    </row>
    <row r="6" spans="1:10" ht="14" x14ac:dyDescent="0.3">
      <c r="A6" s="386">
        <v>39100299</v>
      </c>
      <c r="B6" s="386" t="s">
        <v>282</v>
      </c>
      <c r="C6" s="386" t="s">
        <v>283</v>
      </c>
      <c r="D6" s="386" t="s">
        <v>285</v>
      </c>
      <c r="E6" s="387">
        <v>3450</v>
      </c>
      <c r="F6" s="388">
        <v>40836</v>
      </c>
      <c r="G6" s="386" t="s">
        <v>286</v>
      </c>
      <c r="H6" s="386"/>
      <c r="I6" s="386"/>
      <c r="J6" s="386"/>
    </row>
    <row r="7" spans="1:10" ht="14" x14ac:dyDescent="0.3">
      <c r="A7" s="392">
        <v>39100299</v>
      </c>
      <c r="B7" s="393" t="s">
        <v>282</v>
      </c>
      <c r="C7" s="393" t="s">
        <v>283</v>
      </c>
      <c r="D7" s="393" t="s">
        <v>287</v>
      </c>
      <c r="E7" s="387">
        <v>2000</v>
      </c>
      <c r="F7" s="388">
        <v>40871</v>
      </c>
      <c r="G7" s="393" t="s">
        <v>288</v>
      </c>
      <c r="H7" s="386"/>
      <c r="I7" s="393"/>
      <c r="J7" s="386"/>
    </row>
    <row r="8" spans="1:10" ht="14" x14ac:dyDescent="0.3">
      <c r="A8" s="394" t="s">
        <v>289</v>
      </c>
      <c r="B8" s="395"/>
      <c r="C8" s="395"/>
      <c r="D8" s="395"/>
      <c r="E8" s="390">
        <v>4500</v>
      </c>
      <c r="F8" s="391"/>
      <c r="G8" s="395"/>
      <c r="H8" s="389"/>
      <c r="I8" s="395"/>
      <c r="J8" s="389"/>
    </row>
    <row r="9" spans="1:10" ht="14" x14ac:dyDescent="0.3">
      <c r="A9" s="389">
        <v>39100199</v>
      </c>
      <c r="B9" s="389" t="s">
        <v>290</v>
      </c>
      <c r="C9" s="389" t="s">
        <v>283</v>
      </c>
      <c r="D9" s="389" t="s">
        <v>116</v>
      </c>
      <c r="E9" s="390">
        <v>10725.4</v>
      </c>
      <c r="F9" s="391">
        <v>40724</v>
      </c>
      <c r="G9" s="389" t="s">
        <v>291</v>
      </c>
      <c r="H9" s="389"/>
      <c r="I9" s="389"/>
      <c r="J9" s="389"/>
    </row>
    <row r="10" spans="1:10" ht="14" x14ac:dyDescent="0.3">
      <c r="A10" s="381">
        <v>39100199</v>
      </c>
      <c r="B10" s="381" t="s">
        <v>290</v>
      </c>
      <c r="C10" s="381" t="s">
        <v>283</v>
      </c>
      <c r="D10" s="381" t="s">
        <v>292</v>
      </c>
      <c r="E10" s="383">
        <v>4596.6000000000004</v>
      </c>
      <c r="F10" s="382">
        <v>40701</v>
      </c>
      <c r="G10" s="381" t="s">
        <v>291</v>
      </c>
      <c r="H10" s="381"/>
      <c r="I10" s="381"/>
      <c r="J10" s="381"/>
    </row>
    <row r="11" spans="1:10" ht="14" x14ac:dyDescent="0.3">
      <c r="A11" s="381">
        <v>37440114</v>
      </c>
      <c r="B11" s="381" t="s">
        <v>293</v>
      </c>
      <c r="C11" s="381" t="s">
        <v>283</v>
      </c>
      <c r="D11" s="381" t="s">
        <v>294</v>
      </c>
      <c r="E11" s="383">
        <v>3950</v>
      </c>
      <c r="F11" s="381"/>
      <c r="G11" s="381"/>
      <c r="H11" s="381"/>
      <c r="I11" s="381"/>
      <c r="J11" s="381"/>
    </row>
    <row r="12" spans="1:10" ht="14" x14ac:dyDescent="0.3">
      <c r="A12" s="381">
        <v>37350399</v>
      </c>
      <c r="B12" s="381" t="s">
        <v>295</v>
      </c>
      <c r="C12" s="381" t="s">
        <v>283</v>
      </c>
      <c r="D12" s="381" t="s">
        <v>296</v>
      </c>
      <c r="E12" s="383">
        <v>2075</v>
      </c>
      <c r="F12" s="382">
        <v>40820</v>
      </c>
      <c r="G12" s="381"/>
      <c r="H12" s="381"/>
      <c r="I12" s="381"/>
      <c r="J12" s="381"/>
    </row>
    <row r="13" spans="1:10" ht="14" x14ac:dyDescent="0.3">
      <c r="A13" s="381">
        <v>37350299</v>
      </c>
      <c r="B13" s="381" t="s">
        <v>297</v>
      </c>
      <c r="C13" s="381" t="s">
        <v>283</v>
      </c>
      <c r="D13" s="381" t="s">
        <v>298</v>
      </c>
      <c r="E13" s="383">
        <v>2810</v>
      </c>
      <c r="F13" s="382">
        <v>40599</v>
      </c>
      <c r="G13" s="381" t="s">
        <v>299</v>
      </c>
      <c r="H13" s="381"/>
      <c r="I13" s="381"/>
      <c r="J13" s="381"/>
    </row>
    <row r="14" spans="1:10" ht="14.5" x14ac:dyDescent="0.35">
      <c r="A14" s="381">
        <v>27440199</v>
      </c>
      <c r="B14" s="381" t="s">
        <v>293</v>
      </c>
      <c r="C14" s="381" t="s">
        <v>300</v>
      </c>
      <c r="D14" s="381" t="s">
        <v>301</v>
      </c>
      <c r="E14" s="383">
        <v>2215</v>
      </c>
      <c r="F14" s="381"/>
      <c r="G14" s="411" t="s">
        <v>302</v>
      </c>
      <c r="H14" s="381"/>
      <c r="I14" s="381"/>
      <c r="J14" s="381"/>
    </row>
    <row r="15" spans="1:10" ht="14" x14ac:dyDescent="0.3">
      <c r="A15" s="396" t="s">
        <v>303</v>
      </c>
      <c r="B15" s="397"/>
      <c r="C15" s="397"/>
      <c r="D15" s="398"/>
      <c r="E15" s="383">
        <v>3444</v>
      </c>
      <c r="F15" s="381"/>
      <c r="G15" s="381"/>
      <c r="H15" s="381"/>
      <c r="I15" s="381"/>
      <c r="J15" s="381"/>
    </row>
    <row r="16" spans="1:10" ht="15" thickBot="1" x14ac:dyDescent="0.4">
      <c r="E16" s="385">
        <f>SUM(E5:E15)</f>
        <v>45712</v>
      </c>
    </row>
    <row r="17" spans="1:5" ht="13.5" thickTop="1" x14ac:dyDescent="0.3">
      <c r="A17" s="403" t="s">
        <v>304</v>
      </c>
      <c r="B17" s="399"/>
      <c r="C17" s="399"/>
      <c r="D17" s="399"/>
      <c r="E17" s="404"/>
    </row>
    <row r="18" spans="1:5" x14ac:dyDescent="0.3">
      <c r="A18" s="403" t="s">
        <v>305</v>
      </c>
      <c r="B18" s="399"/>
      <c r="C18" s="399"/>
      <c r="D18" s="399"/>
      <c r="E18" s="399"/>
    </row>
    <row r="19" spans="1:5" x14ac:dyDescent="0.3">
      <c r="A19" s="399"/>
      <c r="B19" s="399"/>
      <c r="C19" s="408" t="s">
        <v>306</v>
      </c>
      <c r="D19" s="399"/>
      <c r="E19" s="399"/>
    </row>
    <row r="20" spans="1:5" ht="51" customHeight="1" x14ac:dyDescent="0.3">
      <c r="A20" s="401" t="s">
        <v>307</v>
      </c>
      <c r="B20" s="402" t="s">
        <v>308</v>
      </c>
      <c r="C20" s="747" t="s">
        <v>309</v>
      </c>
      <c r="D20" s="407" t="s">
        <v>310</v>
      </c>
      <c r="E20" s="401" t="s">
        <v>311</v>
      </c>
    </row>
    <row r="21" spans="1:5" hidden="1" x14ac:dyDescent="0.3">
      <c r="A21" s="401"/>
      <c r="B21" s="402"/>
      <c r="C21" s="747"/>
      <c r="D21" s="399"/>
      <c r="E21" s="399"/>
    </row>
    <row r="22" spans="1:5" x14ac:dyDescent="0.3">
      <c r="A22" s="403" t="s">
        <v>312</v>
      </c>
      <c r="B22" s="400">
        <v>17421.550000000003</v>
      </c>
      <c r="C22" s="409">
        <v>20000</v>
      </c>
      <c r="D22" s="406"/>
      <c r="E22" s="406">
        <f>B22+C22-D22</f>
        <v>37421.550000000003</v>
      </c>
    </row>
    <row r="23" spans="1:5" x14ac:dyDescent="0.3">
      <c r="A23" s="403" t="s">
        <v>313</v>
      </c>
      <c r="B23" s="400">
        <v>1676.3600000000006</v>
      </c>
      <c r="C23" s="409">
        <v>5000</v>
      </c>
      <c r="D23" s="406"/>
      <c r="E23" s="406">
        <f t="shared" ref="E23:E35" si="0">B23+C23-D23</f>
        <v>6676.3600000000006</v>
      </c>
    </row>
    <row r="24" spans="1:5" x14ac:dyDescent="0.3">
      <c r="A24" s="403" t="s">
        <v>314</v>
      </c>
      <c r="B24" s="400">
        <v>10573.68</v>
      </c>
      <c r="C24" s="409">
        <v>3000</v>
      </c>
      <c r="D24" s="406"/>
      <c r="E24" s="406">
        <f t="shared" si="0"/>
        <v>13573.68</v>
      </c>
    </row>
    <row r="25" spans="1:5" x14ac:dyDescent="0.3">
      <c r="A25" s="403" t="s">
        <v>315</v>
      </c>
      <c r="B25" s="400">
        <v>41058.33</v>
      </c>
      <c r="C25" s="409">
        <v>5500</v>
      </c>
      <c r="D25" s="406"/>
      <c r="E25" s="406">
        <f t="shared" si="0"/>
        <v>46558.33</v>
      </c>
    </row>
    <row r="26" spans="1:5" x14ac:dyDescent="0.3">
      <c r="A26" s="403" t="s">
        <v>316</v>
      </c>
      <c r="B26" s="400">
        <v>3783.04</v>
      </c>
      <c r="C26" s="409">
        <v>10000</v>
      </c>
      <c r="D26" s="406"/>
      <c r="E26" s="406">
        <f t="shared" si="0"/>
        <v>13783.04</v>
      </c>
    </row>
    <row r="27" spans="1:5" x14ac:dyDescent="0.3">
      <c r="A27" s="403" t="s">
        <v>317</v>
      </c>
      <c r="B27" s="400">
        <v>4392.68</v>
      </c>
      <c r="C27" s="409"/>
      <c r="D27" s="406"/>
      <c r="E27" s="406">
        <f t="shared" si="0"/>
        <v>4392.68</v>
      </c>
    </row>
    <row r="28" spans="1:5" x14ac:dyDescent="0.3">
      <c r="A28" s="403" t="s">
        <v>115</v>
      </c>
      <c r="B28" s="400">
        <v>60036.150000000009</v>
      </c>
      <c r="C28" s="409">
        <v>5000</v>
      </c>
      <c r="D28" s="406"/>
      <c r="E28" s="406">
        <f t="shared" si="0"/>
        <v>65036.150000000009</v>
      </c>
    </row>
    <row r="29" spans="1:5" x14ac:dyDescent="0.3">
      <c r="A29" s="403" t="s">
        <v>318</v>
      </c>
      <c r="B29" s="400">
        <v>10771.810000000001</v>
      </c>
      <c r="C29" s="409">
        <v>2000</v>
      </c>
      <c r="D29" s="406"/>
      <c r="E29" s="406">
        <f t="shared" si="0"/>
        <v>12771.810000000001</v>
      </c>
    </row>
    <row r="30" spans="1:5" x14ac:dyDescent="0.3">
      <c r="A30" s="403" t="s">
        <v>319</v>
      </c>
      <c r="B30" s="400">
        <v>80000</v>
      </c>
      <c r="C30" s="409">
        <v>20000</v>
      </c>
      <c r="D30" s="406"/>
      <c r="E30" s="406">
        <f t="shared" si="0"/>
        <v>100000</v>
      </c>
    </row>
    <row r="31" spans="1:5" x14ac:dyDescent="0.3">
      <c r="A31" s="403" t="s">
        <v>142</v>
      </c>
      <c r="B31" s="400">
        <v>5171.7999999999993</v>
      </c>
      <c r="C31" s="409">
        <v>2500</v>
      </c>
      <c r="D31" s="406"/>
      <c r="E31" s="406">
        <f t="shared" si="0"/>
        <v>7671.7999999999993</v>
      </c>
    </row>
    <row r="32" spans="1:5" x14ac:dyDescent="0.3">
      <c r="A32" s="403" t="s">
        <v>320</v>
      </c>
      <c r="B32" s="400">
        <v>11392</v>
      </c>
      <c r="C32" s="409">
        <v>1000</v>
      </c>
      <c r="D32" s="406"/>
      <c r="E32" s="406">
        <f t="shared" si="0"/>
        <v>12392</v>
      </c>
    </row>
    <row r="33" spans="1:5" x14ac:dyDescent="0.3">
      <c r="A33" s="403" t="s">
        <v>321</v>
      </c>
      <c r="B33" s="400">
        <v>2450.52</v>
      </c>
      <c r="C33" s="410">
        <v>0</v>
      </c>
      <c r="D33" s="406"/>
      <c r="E33" s="406">
        <f t="shared" si="0"/>
        <v>2450.52</v>
      </c>
    </row>
    <row r="34" spans="1:5" x14ac:dyDescent="0.3">
      <c r="A34" s="403" t="s">
        <v>322</v>
      </c>
      <c r="B34" s="400">
        <v>1495</v>
      </c>
      <c r="C34" s="410">
        <v>299</v>
      </c>
      <c r="D34" s="406"/>
      <c r="E34" s="406">
        <f t="shared" si="0"/>
        <v>1794</v>
      </c>
    </row>
    <row r="35" spans="1:5" x14ac:dyDescent="0.3">
      <c r="A35" s="403" t="s">
        <v>323</v>
      </c>
      <c r="B35" s="400">
        <v>15000</v>
      </c>
      <c r="C35" s="409"/>
      <c r="D35" s="406"/>
      <c r="E35" s="406">
        <f t="shared" si="0"/>
        <v>15000</v>
      </c>
    </row>
    <row r="36" spans="1:5" x14ac:dyDescent="0.3">
      <c r="A36" s="399"/>
      <c r="B36" s="399"/>
      <c r="C36" s="405"/>
      <c r="D36" s="399"/>
      <c r="E36" s="399"/>
    </row>
    <row r="37" spans="1:5" x14ac:dyDescent="0.3">
      <c r="A37" s="399"/>
      <c r="B37" s="399"/>
    </row>
    <row r="38" spans="1:5" x14ac:dyDescent="0.3">
      <c r="A38" s="399"/>
      <c r="B38" s="399"/>
    </row>
    <row r="39" spans="1:5" x14ac:dyDescent="0.3">
      <c r="A39" s="399"/>
      <c r="B39" s="399"/>
    </row>
  </sheetData>
  <mergeCells count="8">
    <mergeCell ref="C20:C21"/>
    <mergeCell ref="H3:J3"/>
    <mergeCell ref="A3:A4"/>
    <mergeCell ref="D3:D4"/>
    <mergeCell ref="E3:E4"/>
    <mergeCell ref="F3:F4"/>
    <mergeCell ref="B3:B4"/>
    <mergeCell ref="G3:G4"/>
  </mergeCells>
  <phoneticPr fontId="93" type="noConversion"/>
  <pageMargins left="0.70866141732283472" right="0.70866141732283472" top="0.74803149606299213" bottom="0.74803149606299213" header="0.31496062992125984" footer="0.31496062992125984"/>
  <pageSetup paperSize="9" scale="5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dc0f8a3-39d0-4f39-9b4f-c537e9470203" xsi:nil="true"/>
    <lcf76f155ced4ddcb4097134ff3c332f xmlns="c01157c2-8cd1-42cc-92e9-0843b19f079b">
      <Terms xmlns="http://schemas.microsoft.com/office/infopath/2007/PartnerControls"/>
    </lcf76f155ced4ddcb4097134ff3c332f>
    <Preview xmlns="c01157c2-8cd1-42cc-92e9-0843b19f079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0ECE71DBCAE3F4484AF67EAB843F855" ma:contentTypeVersion="17" ma:contentTypeDescription="Create a new document." ma:contentTypeScope="" ma:versionID="eb0e91a42f843cdaaf6ec70762d96364">
  <xsd:schema xmlns:xsd="http://www.w3.org/2001/XMLSchema" xmlns:xs="http://www.w3.org/2001/XMLSchema" xmlns:p="http://schemas.microsoft.com/office/2006/metadata/properties" xmlns:ns2="c01157c2-8cd1-42cc-92e9-0843b19f079b" xmlns:ns3="cdc0f8a3-39d0-4f39-9b4f-c537e9470203" targetNamespace="http://schemas.microsoft.com/office/2006/metadata/properties" ma:root="true" ma:fieldsID="9aac23f2d225c9bee5795f1ae63d6ebb" ns2:_="" ns3:_="">
    <xsd:import namespace="c01157c2-8cd1-42cc-92e9-0843b19f079b"/>
    <xsd:import namespace="cdc0f8a3-39d0-4f39-9b4f-c537e947020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3:SharedWithUsers" minOccurs="0"/>
                <xsd:element ref="ns3:SharedWithDetails" minOccurs="0"/>
                <xsd:element ref="ns2:MediaServiceSearchProperties" minOccurs="0"/>
                <xsd:element ref="ns2:Preview"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1157c2-8cd1-42cc-92e9-0843b19f07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9b6a34e-e045-417a-a79a-39dac7c38fa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Preview" ma:index="23" nillable="true" ma:displayName="Preview" ma:format="Thumbnail" ma:internalName="Preview">
      <xsd:simpleType>
        <xsd:restriction base="dms:Unknown"/>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dc0f8a3-39d0-4f39-9b4f-c537e947020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3be9aaf-911c-40ac-92d3-4ebbb0ffad5a}" ma:internalName="TaxCatchAll" ma:showField="CatchAllData" ma:web="cdc0f8a3-39d0-4f39-9b4f-c537e9470203">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AF80FD-02BE-47FC-A3AE-BF1B9CF5EB67}">
  <ds:schemaRefs>
    <ds:schemaRef ds:uri="http://schemas.microsoft.com/office/2006/metadata/properties"/>
    <ds:schemaRef ds:uri="http://schemas.microsoft.com/office/infopath/2007/PartnerControls"/>
    <ds:schemaRef ds:uri="cdc0f8a3-39d0-4f39-9b4f-c537e9470203"/>
    <ds:schemaRef ds:uri="c01157c2-8cd1-42cc-92e9-0843b19f079b"/>
  </ds:schemaRefs>
</ds:datastoreItem>
</file>

<file path=customXml/itemProps2.xml><?xml version="1.0" encoding="utf-8"?>
<ds:datastoreItem xmlns:ds="http://schemas.openxmlformats.org/officeDocument/2006/customXml" ds:itemID="{BA2EF233-66FC-46CB-B790-52B4BEB9E7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1157c2-8cd1-42cc-92e9-0843b19f079b"/>
    <ds:schemaRef ds:uri="cdc0f8a3-39d0-4f39-9b4f-c537e94702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F374C3-05C8-4D17-A163-B009977FCFC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32</vt:i4>
      </vt:variant>
    </vt:vector>
  </HeadingPairs>
  <TitlesOfParts>
    <vt:vector size="56" baseType="lpstr">
      <vt:lpstr>Progress</vt:lpstr>
      <vt:lpstr>2026-2027 Revenue Budget</vt:lpstr>
      <vt:lpstr>Admin Rchg (na)</vt:lpstr>
      <vt:lpstr>Project Budget 1112 - 1213</vt:lpstr>
      <vt:lpstr>Summary of points</vt:lpstr>
      <vt:lpstr>Changes per meeting 211209</vt:lpstr>
      <vt:lpstr>Revised Rec of Cash and Reserve</vt:lpstr>
      <vt:lpstr>Rec of Reserves and Cash</vt:lpstr>
      <vt:lpstr>Possible items funded from res</vt:lpstr>
      <vt:lpstr>MTFS</vt:lpstr>
      <vt:lpstr>Trial Balance</vt:lpstr>
      <vt:lpstr>Adjustments</vt:lpstr>
      <vt:lpstr>Corporate Management (x)</vt:lpstr>
      <vt:lpstr>Reserves</vt:lpstr>
      <vt:lpstr>Code Allocation</vt:lpstr>
      <vt:lpstr>Precept Summary Table</vt:lpstr>
      <vt:lpstr>Capital charges</vt:lpstr>
      <vt:lpstr>FAR 0809 Budgeted</vt:lpstr>
      <vt:lpstr>FAR 0910 Budgeted</vt:lpstr>
      <vt:lpstr>Goverment Grant Postings</vt:lpstr>
      <vt:lpstr>Admin Recharge</vt:lpstr>
      <vt:lpstr>Sheet1</vt:lpstr>
      <vt:lpstr>Insurance</vt:lpstr>
      <vt:lpstr>OT 0910</vt:lpstr>
      <vt:lpstr>'FAR 0809 Budgeted'!CommunityAssets</vt:lpstr>
      <vt:lpstr>'FAR 0910 Budgeted'!CommunityAssets</vt:lpstr>
      <vt:lpstr>'FAR 0809 Budgeted'!FAR</vt:lpstr>
      <vt:lpstr>'FAR 0910 Budgeted'!FAR</vt:lpstr>
      <vt:lpstr>'FAR 0809 Budgeted'!FurnitureEquipment</vt:lpstr>
      <vt:lpstr>'FAR 0910 Budgeted'!FurnitureEquipment</vt:lpstr>
      <vt:lpstr>'FAR 0809 Budgeted'!LandBuildings</vt:lpstr>
      <vt:lpstr>'FAR 0910 Budgeted'!LandBuildings</vt:lpstr>
      <vt:lpstr>'FAR 0809 Budgeted'!MotorVehicles</vt:lpstr>
      <vt:lpstr>'FAR 0910 Budgeted'!MotorVehicles</vt:lpstr>
      <vt:lpstr>'FAR 0809 Budgeted'!OtherEquipmentAssets</vt:lpstr>
      <vt:lpstr>'FAR 0910 Budgeted'!OtherEquipmentAssets</vt:lpstr>
      <vt:lpstr>'FAR 0809 Budgeted'!PlantMachinery</vt:lpstr>
      <vt:lpstr>'FAR 0910 Budgeted'!PlantMachinery</vt:lpstr>
      <vt:lpstr>'FAR 0809 Budgeted'!Playequipment</vt:lpstr>
      <vt:lpstr>'FAR 0910 Budgeted'!Playequipment</vt:lpstr>
      <vt:lpstr>'2026-2027 Revenue Budget'!Print_Area</vt:lpstr>
      <vt:lpstr>'Admin Rchg (na)'!Print_Area</vt:lpstr>
      <vt:lpstr>'Corporate Management (x)'!Print_Area</vt:lpstr>
      <vt:lpstr>'FAR 0809 Budgeted'!Print_Area</vt:lpstr>
      <vt:lpstr>'FAR 0910 Budgeted'!Print_Area</vt:lpstr>
      <vt:lpstr>MTFS!Print_Area</vt:lpstr>
      <vt:lpstr>'OT 0910'!Print_Area</vt:lpstr>
      <vt:lpstr>'Project Budget 1112 - 1213'!Print_Area</vt:lpstr>
      <vt:lpstr>'Rec of Reserves and Cash'!Print_Area</vt:lpstr>
      <vt:lpstr>'Summary of points'!Print_Area</vt:lpstr>
      <vt:lpstr>'Trial Balance'!Print_Area</vt:lpstr>
      <vt:lpstr>'Corporate Management (x)'!Print_Titles</vt:lpstr>
      <vt:lpstr>'FAR 0809 Budgeted'!Print_Titles</vt:lpstr>
      <vt:lpstr>'FAR 0910 Budgeted'!Print_Titles</vt:lpstr>
      <vt:lpstr>'FAR 0809 Budgeted'!WIP</vt:lpstr>
      <vt:lpstr>'FAR 0910 Budgeted'!WIP</vt:lpstr>
    </vt:vector>
  </TitlesOfParts>
  <Manager/>
  <Company>Dorset County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Peter Blaney</dc:creator>
  <cp:keywords/>
  <dc:description/>
  <cp:lastModifiedBy>Nigel Hayes</cp:lastModifiedBy>
  <cp:revision/>
  <cp:lastPrinted>2026-01-16T12:14:23Z</cp:lastPrinted>
  <dcterms:created xsi:type="dcterms:W3CDTF">2001-10-19T09:55:02Z</dcterms:created>
  <dcterms:modified xsi:type="dcterms:W3CDTF">2026-03-03T15:35:05Z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0x010100E0ECE71DBCAE3F4484AF67EAB843F855</vt:lpwstr>
  </property>
  <property fmtid="{D5CDD505-2E9C-101B-9397-08002B2CF9AE}" pid="3" name="Order">
    <vt:r8>17680300</vt:r8>
  </property>
  <property fmtid="{D5CDD505-2E9C-101B-9397-08002B2CF9AE}" pid="4" name="MediaServiceImageTags">
    <vt:lpwstr/>
  </property>
</Properties>
</file>